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udget\TAX LEVY RATE Files\2025-2026 WORKING FILES\"/>
    </mc:Choice>
  </mc:AlternateContent>
  <xr:revisionPtr revIDLastSave="0" documentId="13_ncr:10001_{FAF97658-975A-4E80-AE50-AE6E75787B3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Sheet1!$A$11:$C$230</definedName>
    <definedName name="_xlnm.Print_Area" localSheetId="0">Sheet1!$A$1:$O$244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8" i="1" l="1"/>
  <c r="I227" i="1"/>
  <c r="I226" i="1"/>
  <c r="I225" i="1"/>
  <c r="I204" i="1"/>
  <c r="I202" i="1"/>
  <c r="I201" i="1"/>
  <c r="I200" i="1"/>
  <c r="I199" i="1"/>
  <c r="I182" i="1"/>
  <c r="I181" i="1"/>
  <c r="I172" i="1"/>
  <c r="I146" i="1"/>
  <c r="I145" i="1"/>
  <c r="I144" i="1"/>
  <c r="I143" i="1"/>
  <c r="I142" i="1"/>
  <c r="I141" i="1"/>
  <c r="I140" i="1"/>
  <c r="I110" i="1"/>
  <c r="I109" i="1"/>
  <c r="I107" i="1"/>
  <c r="I106" i="1"/>
  <c r="I105" i="1"/>
  <c r="I104" i="1"/>
  <c r="I103" i="1"/>
  <c r="I94" i="1"/>
  <c r="I93" i="1"/>
  <c r="I91" i="1"/>
  <c r="I89" i="1"/>
  <c r="I87" i="1"/>
  <c r="I85" i="1"/>
  <c r="I83" i="1"/>
  <c r="I81" i="1"/>
  <c r="I80" i="1"/>
  <c r="I78" i="1"/>
  <c r="I77" i="1"/>
  <c r="I76" i="1"/>
  <c r="I75" i="1"/>
  <c r="I74" i="1"/>
  <c r="I73" i="1"/>
  <c r="I72" i="1"/>
  <c r="I71" i="1"/>
  <c r="I70" i="1"/>
  <c r="I69" i="1"/>
  <c r="I68" i="1"/>
  <c r="I67" i="1"/>
  <c r="I65" i="1"/>
  <c r="I64" i="1"/>
  <c r="I63" i="1"/>
  <c r="I62" i="1"/>
  <c r="I61" i="1"/>
  <c r="I60" i="1"/>
  <c r="I59" i="1"/>
  <c r="I58" i="1"/>
  <c r="I57" i="1"/>
  <c r="I56" i="1"/>
  <c r="N179" i="1"/>
  <c r="N170" i="1"/>
  <c r="N137" i="1"/>
  <c r="N135" i="1"/>
  <c r="N127" i="1"/>
  <c r="N119" i="1"/>
  <c r="N59" i="1"/>
  <c r="M224" i="1"/>
  <c r="M219" i="1"/>
  <c r="M217" i="1"/>
  <c r="M215" i="1"/>
  <c r="M213" i="1"/>
  <c r="M211" i="1"/>
  <c r="M209" i="1"/>
  <c r="M208" i="1"/>
  <c r="M207" i="1"/>
  <c r="M206" i="1"/>
  <c r="M204" i="1"/>
  <c r="M202" i="1"/>
  <c r="M201" i="1"/>
  <c r="M191" i="1"/>
  <c r="M190" i="1"/>
  <c r="M189" i="1"/>
  <c r="M188" i="1"/>
  <c r="M185" i="1"/>
  <c r="M123" i="1"/>
  <c r="M141" i="1"/>
  <c r="M139" i="1"/>
  <c r="M137" i="1"/>
  <c r="M135" i="1"/>
  <c r="M133" i="1"/>
  <c r="M132" i="1"/>
  <c r="M131" i="1"/>
  <c r="M129" i="1"/>
  <c r="M128" i="1"/>
  <c r="M127" i="1"/>
  <c r="M126" i="1"/>
  <c r="M124" i="1"/>
  <c r="M121" i="1"/>
  <c r="M119" i="1"/>
  <c r="M117" i="1"/>
  <c r="M58" i="1"/>
  <c r="L232" i="1"/>
  <c r="L231" i="1"/>
  <c r="L230" i="1"/>
  <c r="L229" i="1"/>
  <c r="L191" i="1"/>
  <c r="L190" i="1"/>
  <c r="L189" i="1"/>
  <c r="L188" i="1"/>
  <c r="L187" i="1"/>
  <c r="L186" i="1"/>
  <c r="L185" i="1"/>
  <c r="L184" i="1"/>
  <c r="L183" i="1"/>
  <c r="L139" i="1"/>
  <c r="L137" i="1"/>
  <c r="L135" i="1"/>
  <c r="L133" i="1"/>
  <c r="L132" i="1"/>
  <c r="L131" i="1"/>
  <c r="L129" i="1"/>
  <c r="L128" i="1"/>
  <c r="L127" i="1"/>
  <c r="L126" i="1"/>
  <c r="L125" i="1"/>
  <c r="L124" i="1"/>
  <c r="L123" i="1"/>
  <c r="L122" i="1"/>
  <c r="L121" i="1"/>
  <c r="L119" i="1"/>
  <c r="L117" i="1"/>
  <c r="L115" i="1"/>
  <c r="L114" i="1"/>
  <c r="L113" i="1"/>
  <c r="L112" i="1"/>
  <c r="L111" i="1"/>
  <c r="L93" i="1"/>
  <c r="L91" i="1"/>
  <c r="L89" i="1"/>
  <c r="L87" i="1"/>
  <c r="L85" i="1"/>
  <c r="L83" i="1"/>
  <c r="L81" i="1"/>
  <c r="L80" i="1"/>
  <c r="L78" i="1"/>
  <c r="L77" i="1"/>
  <c r="L76" i="1"/>
  <c r="L75" i="1"/>
  <c r="L74" i="1"/>
  <c r="L73" i="1"/>
  <c r="L72" i="1"/>
  <c r="L71" i="1"/>
  <c r="L70" i="1"/>
  <c r="L69" i="1"/>
  <c r="L68" i="1"/>
  <c r="L67" i="1"/>
  <c r="L65" i="1"/>
  <c r="L64" i="1"/>
  <c r="L63" i="1"/>
  <c r="G228" i="1"/>
  <c r="G227" i="1"/>
  <c r="G226" i="1"/>
  <c r="G225" i="1"/>
  <c r="G204" i="1"/>
  <c r="G202" i="1"/>
  <c r="G201" i="1"/>
  <c r="G200" i="1"/>
  <c r="G199" i="1"/>
  <c r="G182" i="1"/>
  <c r="G181" i="1"/>
  <c r="G172" i="1"/>
  <c r="G146" i="1"/>
  <c r="G145" i="1"/>
  <c r="G144" i="1"/>
  <c r="G143" i="1"/>
  <c r="G142" i="1"/>
  <c r="G141" i="1"/>
  <c r="G140" i="1"/>
  <c r="G110" i="1"/>
  <c r="G109" i="1"/>
  <c r="G107" i="1"/>
  <c r="G106" i="1"/>
  <c r="G105" i="1"/>
  <c r="G104" i="1"/>
  <c r="G103" i="1"/>
  <c r="G94" i="1"/>
  <c r="G93" i="1"/>
  <c r="G91" i="1"/>
  <c r="G89" i="1"/>
  <c r="G87" i="1"/>
  <c r="G85" i="1"/>
  <c r="G83" i="1"/>
  <c r="G81" i="1"/>
  <c r="G80" i="1"/>
  <c r="G78" i="1"/>
  <c r="G77" i="1"/>
  <c r="G76" i="1"/>
  <c r="G75" i="1"/>
  <c r="G74" i="1"/>
  <c r="G73" i="1"/>
  <c r="G72" i="1"/>
  <c r="G71" i="1"/>
  <c r="G70" i="1"/>
  <c r="G69" i="1"/>
  <c r="G68" i="1"/>
  <c r="G67" i="1"/>
  <c r="G65" i="1"/>
  <c r="G64" i="1"/>
  <c r="G63" i="1"/>
  <c r="G62" i="1"/>
  <c r="G61" i="1"/>
  <c r="G60" i="1"/>
  <c r="G59" i="1"/>
  <c r="G58" i="1"/>
  <c r="G57" i="1"/>
  <c r="G56" i="1"/>
  <c r="N45" i="1"/>
  <c r="M47" i="1"/>
  <c r="M46" i="1"/>
  <c r="M45" i="1"/>
  <c r="M43" i="1"/>
  <c r="M40" i="1"/>
  <c r="M39" i="1"/>
  <c r="M38" i="1"/>
  <c r="M37" i="1"/>
  <c r="M36" i="1"/>
  <c r="M34" i="1"/>
  <c r="M33" i="1"/>
  <c r="M31" i="1"/>
  <c r="M30" i="1"/>
  <c r="M27" i="1"/>
  <c r="M16" i="1"/>
  <c r="M15" i="1"/>
  <c r="L47" i="1"/>
  <c r="L46" i="1"/>
  <c r="L45" i="1"/>
  <c r="L43" i="1"/>
  <c r="L42" i="1"/>
  <c r="L41" i="1"/>
  <c r="L40" i="1"/>
  <c r="L39" i="1"/>
  <c r="L38" i="1"/>
  <c r="L37" i="1"/>
  <c r="L36" i="1"/>
  <c r="L34" i="1"/>
  <c r="L33" i="1"/>
  <c r="L31" i="1"/>
  <c r="L30" i="1"/>
  <c r="L29" i="1"/>
  <c r="L28" i="1"/>
  <c r="L27" i="1"/>
  <c r="L26" i="1"/>
  <c r="L25" i="1"/>
  <c r="L23" i="1"/>
  <c r="L21" i="1"/>
  <c r="L19" i="1"/>
  <c r="L17" i="1"/>
  <c r="L16" i="1"/>
  <c r="L15" i="1"/>
  <c r="L14" i="1"/>
  <c r="O8" i="1" l="1"/>
  <c r="I6" i="1"/>
  <c r="J219" i="1" l="1"/>
  <c r="O219" i="1" s="1"/>
  <c r="J17" i="1"/>
  <c r="O17" i="1" s="1"/>
  <c r="J14" i="1"/>
  <c r="E219" i="1"/>
  <c r="H219" i="1" s="1"/>
  <c r="E14" i="1"/>
  <c r="E15" i="1"/>
  <c r="H14" i="1"/>
  <c r="D219" i="1" l="1"/>
  <c r="O14" i="1"/>
  <c r="D14" i="1" s="1"/>
  <c r="J123" i="1"/>
  <c r="O123" i="1" s="1"/>
  <c r="J191" i="1" l="1"/>
  <c r="E143" i="1"/>
  <c r="H143" i="1" s="1"/>
  <c r="E30" i="1"/>
  <c r="H30" i="1" s="1"/>
  <c r="E19" i="1"/>
  <c r="H19" i="1" s="1"/>
  <c r="E70" i="1"/>
  <c r="H70" i="1" s="1"/>
  <c r="E145" i="1"/>
  <c r="H145" i="1" s="1"/>
  <c r="E184" i="1"/>
  <c r="H184" i="1" s="1"/>
  <c r="E142" i="1"/>
  <c r="H142" i="1" s="1"/>
  <c r="E25" i="1"/>
  <c r="H25" i="1" s="1"/>
  <c r="E26" i="1"/>
  <c r="H26" i="1" s="1"/>
  <c r="E27" i="1"/>
  <c r="H27" i="1" s="1"/>
  <c r="E103" i="1"/>
  <c r="H103" i="1" s="1"/>
  <c r="E204" i="1"/>
  <c r="H204" i="1" s="1"/>
  <c r="E85" i="1"/>
  <c r="H85" i="1" s="1"/>
  <c r="E38" i="1"/>
  <c r="H38" i="1" s="1"/>
  <c r="E47" i="1"/>
  <c r="H47" i="1" s="1"/>
  <c r="E81" i="1"/>
  <c r="H81" i="1" s="1"/>
  <c r="E77" i="1"/>
  <c r="E127" i="1"/>
  <c r="H127" i="1" s="1"/>
  <c r="E166" i="1"/>
  <c r="H166" i="1" s="1"/>
  <c r="E57" i="1"/>
  <c r="H57" i="1" s="1"/>
  <c r="E180" i="1"/>
  <c r="H180" i="1" s="1"/>
  <c r="E61" i="1"/>
  <c r="H61" i="1" s="1"/>
  <c r="E69" i="1"/>
  <c r="H69" i="1" s="1"/>
  <c r="E175" i="1"/>
  <c r="H175" i="1" s="1"/>
  <c r="E144" i="1"/>
  <c r="H144" i="1" s="1"/>
  <c r="E21" i="1"/>
  <c r="H21" i="1" s="1"/>
  <c r="E68" i="1"/>
  <c r="E67" i="1"/>
  <c r="E223" i="1"/>
  <c r="H223" i="1" s="1"/>
  <c r="E39" i="1"/>
  <c r="H39" i="1" s="1"/>
  <c r="E65" i="1"/>
  <c r="E104" i="1"/>
  <c r="H104" i="1" s="1"/>
  <c r="E206" i="1"/>
  <c r="H206" i="1" s="1"/>
  <c r="E201" i="1"/>
  <c r="H201" i="1" s="1"/>
  <c r="E174" i="1"/>
  <c r="H174" i="1" s="1"/>
  <c r="E178" i="1"/>
  <c r="H178" i="1" s="1"/>
  <c r="E121" i="1"/>
  <c r="H121" i="1" s="1"/>
  <c r="J85" i="1"/>
  <c r="J177" i="1"/>
  <c r="O177" i="1" s="1"/>
  <c r="J223" i="1"/>
  <c r="O223" i="1" s="1"/>
  <c r="E226" i="1"/>
  <c r="H226" i="1" s="1"/>
  <c r="E202" i="1"/>
  <c r="H202" i="1" s="1"/>
  <c r="E46" i="1"/>
  <c r="H46" i="1" s="1"/>
  <c r="E140" i="1"/>
  <c r="H140" i="1" s="1"/>
  <c r="E63" i="1"/>
  <c r="H63" i="1" s="1"/>
  <c r="E133" i="1"/>
  <c r="H133" i="1" s="1"/>
  <c r="E113" i="1"/>
  <c r="H113" i="1" s="1"/>
  <c r="E189" i="1"/>
  <c r="H189" i="1" s="1"/>
  <c r="E126" i="1"/>
  <c r="H126" i="1" s="1"/>
  <c r="E117" i="1"/>
  <c r="H117" i="1" s="1"/>
  <c r="E186" i="1"/>
  <c r="H186" i="1" s="1"/>
  <c r="E227" i="1"/>
  <c r="H227" i="1" s="1"/>
  <c r="E40" i="1"/>
  <c r="H40" i="1" s="1"/>
  <c r="E213" i="1"/>
  <c r="H213" i="1" s="1"/>
  <c r="E199" i="1"/>
  <c r="H199" i="1" s="1"/>
  <c r="E162" i="1"/>
  <c r="H162" i="1" s="1"/>
  <c r="E112" i="1"/>
  <c r="H112" i="1" s="1"/>
  <c r="E45" i="1"/>
  <c r="H45" i="1" s="1"/>
  <c r="H15" i="1"/>
  <c r="E75" i="1"/>
  <c r="H75" i="1" s="1"/>
  <c r="E93" i="1"/>
  <c r="H93" i="1" s="1"/>
  <c r="E182" i="1"/>
  <c r="H182" i="1" s="1"/>
  <c r="E89" i="1"/>
  <c r="H89" i="1" s="1"/>
  <c r="E64" i="1"/>
  <c r="H64" i="1" s="1"/>
  <c r="E83" i="1"/>
  <c r="H83" i="1" s="1"/>
  <c r="E94" i="1"/>
  <c r="H94" i="1" s="1"/>
  <c r="E28" i="1"/>
  <c r="H28" i="1" s="1"/>
  <c r="E156" i="1"/>
  <c r="H156" i="1" s="1"/>
  <c r="E221" i="1"/>
  <c r="H221" i="1" s="1"/>
  <c r="E78" i="1"/>
  <c r="H78" i="1" s="1"/>
  <c r="E155" i="1"/>
  <c r="H155" i="1" s="1"/>
  <c r="E135" i="1"/>
  <c r="H135" i="1" s="1"/>
  <c r="E124" i="1"/>
  <c r="H124" i="1" s="1"/>
  <c r="E224" i="1"/>
  <c r="H224" i="1" s="1"/>
  <c r="E229" i="1"/>
  <c r="H229" i="1" s="1"/>
  <c r="E141" i="1"/>
  <c r="H141" i="1" s="1"/>
  <c r="E105" i="1"/>
  <c r="H105" i="1" s="1"/>
  <c r="E137" i="1"/>
  <c r="H137" i="1" s="1"/>
  <c r="E185" i="1"/>
  <c r="H185" i="1" s="1"/>
  <c r="E76" i="1"/>
  <c r="E43" i="1"/>
  <c r="H43" i="1" s="1"/>
  <c r="E171" i="1"/>
  <c r="H171" i="1" s="1"/>
  <c r="E168" i="1"/>
  <c r="H168" i="1" s="1"/>
  <c r="E233" i="1"/>
  <c r="H233" i="1" s="1"/>
  <c r="E41" i="1"/>
  <c r="H41" i="1" s="1"/>
  <c r="E106" i="1"/>
  <c r="H106" i="1" s="1"/>
  <c r="E122" i="1"/>
  <c r="H122" i="1" s="1"/>
  <c r="E115" i="1"/>
  <c r="H115" i="1" s="1"/>
  <c r="E109" i="1"/>
  <c r="H109" i="1" s="1"/>
  <c r="E217" i="1"/>
  <c r="H217" i="1" s="1"/>
  <c r="E73" i="1"/>
  <c r="H73" i="1" s="1"/>
  <c r="E31" i="1"/>
  <c r="H31" i="1" s="1"/>
  <c r="E59" i="1"/>
  <c r="H59" i="1" s="1"/>
  <c r="E160" i="1"/>
  <c r="H160" i="1" s="1"/>
  <c r="E191" i="1"/>
  <c r="H191" i="1" s="1"/>
  <c r="E128" i="1"/>
  <c r="H128" i="1" s="1"/>
  <c r="E29" i="1"/>
  <c r="H29" i="1" s="1"/>
  <c r="E231" i="1"/>
  <c r="H231" i="1" s="1"/>
  <c r="E173" i="1"/>
  <c r="H173" i="1" s="1"/>
  <c r="E56" i="1"/>
  <c r="H56" i="1" s="1"/>
  <c r="E146" i="1"/>
  <c r="H146" i="1" s="1"/>
  <c r="E228" i="1"/>
  <c r="H228" i="1" s="1"/>
  <c r="J182" i="1"/>
  <c r="O182" i="1" s="1"/>
  <c r="J157" i="1"/>
  <c r="O157" i="1" s="1"/>
  <c r="J132" i="1"/>
  <c r="O132" i="1" s="1"/>
  <c r="E129" i="1"/>
  <c r="H129" i="1" s="1"/>
  <c r="E131" i="1"/>
  <c r="H131" i="1" s="1"/>
  <c r="E60" i="1"/>
  <c r="H60" i="1" s="1"/>
  <c r="E211" i="1"/>
  <c r="H211" i="1" s="1"/>
  <c r="E230" i="1"/>
  <c r="H230" i="1" s="1"/>
  <c r="E33" i="1"/>
  <c r="H33" i="1" s="1"/>
  <c r="E42" i="1"/>
  <c r="H42" i="1" s="1"/>
  <c r="E37" i="1"/>
  <c r="H37" i="1" s="1"/>
  <c r="E23" i="1"/>
  <c r="H23" i="1" s="1"/>
  <c r="E119" i="1"/>
  <c r="H119" i="1" s="1"/>
  <c r="E220" i="1"/>
  <c r="H220" i="1" s="1"/>
  <c r="E188" i="1"/>
  <c r="H188" i="1" s="1"/>
  <c r="E164" i="1"/>
  <c r="H164" i="1" s="1"/>
  <c r="H67" i="1" l="1"/>
  <c r="O85" i="1"/>
  <c r="D85" i="1" s="1"/>
  <c r="H65" i="1"/>
  <c r="E123" i="1"/>
  <c r="H123" i="1" s="1"/>
  <c r="D123" i="1" s="1"/>
  <c r="H68" i="1"/>
  <c r="H77" i="1"/>
  <c r="H76" i="1"/>
  <c r="O191" i="1"/>
  <c r="D191" i="1" s="1"/>
  <c r="D223" i="1"/>
  <c r="J128" i="1"/>
  <c r="O128" i="1" s="1"/>
  <c r="D128" i="1" s="1"/>
  <c r="J110" i="1"/>
  <c r="O110" i="1" s="1"/>
  <c r="J204" i="1"/>
  <c r="O204" i="1" s="1"/>
  <c r="D203" i="1" s="1"/>
  <c r="J226" i="1"/>
  <c r="O226" i="1" s="1"/>
  <c r="D226" i="1" s="1"/>
  <c r="J68" i="1"/>
  <c r="O68" i="1" s="1"/>
  <c r="J227" i="1"/>
  <c r="O227" i="1" s="1"/>
  <c r="D227" i="1" s="1"/>
  <c r="J215" i="1"/>
  <c r="O215" i="1" s="1"/>
  <c r="J171" i="1"/>
  <c r="O171" i="1" s="1"/>
  <c r="D171" i="1" s="1"/>
  <c r="J23" i="1"/>
  <c r="O23" i="1" s="1"/>
  <c r="D23" i="1" s="1"/>
  <c r="J37" i="1"/>
  <c r="O37" i="1" s="1"/>
  <c r="D37" i="1" s="1"/>
  <c r="J183" i="1"/>
  <c r="O183" i="1" s="1"/>
  <c r="J187" i="1"/>
  <c r="O187" i="1" s="1"/>
  <c r="J122" i="1"/>
  <c r="O122" i="1" s="1"/>
  <c r="D122" i="1" s="1"/>
  <c r="J63" i="1"/>
  <c r="O63" i="1" s="1"/>
  <c r="D63" i="1" s="1"/>
  <c r="J186" i="1"/>
  <c r="O186" i="1" s="1"/>
  <c r="D186" i="1" s="1"/>
  <c r="J47" i="1"/>
  <c r="O47" i="1" s="1"/>
  <c r="D47" i="1" s="1"/>
  <c r="J74" i="1"/>
  <c r="O74" i="1" s="1"/>
  <c r="J160" i="1"/>
  <c r="O160" i="1" s="1"/>
  <c r="D160" i="1" s="1"/>
  <c r="J107" i="1"/>
  <c r="O107" i="1" s="1"/>
  <c r="J135" i="1"/>
  <c r="O135" i="1" s="1"/>
  <c r="D135" i="1" s="1"/>
  <c r="J162" i="1"/>
  <c r="O162" i="1" s="1"/>
  <c r="J213" i="1"/>
  <c r="O213" i="1" s="1"/>
  <c r="D213" i="1" s="1"/>
  <c r="J42" i="1"/>
  <c r="O42" i="1" s="1"/>
  <c r="D42" i="1" s="1"/>
  <c r="J175" i="1"/>
  <c r="O175" i="1" s="1"/>
  <c r="D175" i="1" s="1"/>
  <c r="J94" i="1"/>
  <c r="O94" i="1" s="1"/>
  <c r="D94" i="1" s="1"/>
  <c r="J129" i="1"/>
  <c r="O129" i="1" s="1"/>
  <c r="J188" i="1"/>
  <c r="O188" i="1" s="1"/>
  <c r="D188" i="1" s="1"/>
  <c r="J133" i="1"/>
  <c r="O133" i="1" s="1"/>
  <c r="D133" i="1" s="1"/>
  <c r="J117" i="1"/>
  <c r="O117" i="1" s="1"/>
  <c r="D117" i="1" s="1"/>
  <c r="J164" i="1"/>
  <c r="O164" i="1" s="1"/>
  <c r="J34" i="1"/>
  <c r="O34" i="1" s="1"/>
  <c r="J76" i="1"/>
  <c r="O76" i="1" s="1"/>
  <c r="J67" i="1"/>
  <c r="O67" i="1" s="1"/>
  <c r="J61" i="1"/>
  <c r="O61" i="1" s="1"/>
  <c r="D61" i="1" s="1"/>
  <c r="J207" i="1"/>
  <c r="O207" i="1" s="1"/>
  <c r="J189" i="1"/>
  <c r="O189" i="1" s="1"/>
  <c r="D189" i="1" s="1"/>
  <c r="J36" i="1"/>
  <c r="O36" i="1" s="1"/>
  <c r="J71" i="1"/>
  <c r="O71" i="1" s="1"/>
  <c r="J27" i="1"/>
  <c r="O27" i="1" s="1"/>
  <c r="D27" i="1" s="1"/>
  <c r="J141" i="1"/>
  <c r="O141" i="1" s="1"/>
  <c r="D141" i="1" s="1"/>
  <c r="J170" i="1"/>
  <c r="O170" i="1" s="1"/>
  <c r="J225" i="1"/>
  <c r="O225" i="1" s="1"/>
  <c r="J143" i="1"/>
  <c r="O143" i="1" s="1"/>
  <c r="J233" i="1"/>
  <c r="J205" i="1"/>
  <c r="O205" i="1" s="1"/>
  <c r="J15" i="1"/>
  <c r="O15" i="1" s="1"/>
  <c r="D15" i="1" s="1"/>
  <c r="J199" i="1"/>
  <c r="O199" i="1" s="1"/>
  <c r="D199" i="1" s="1"/>
  <c r="J25" i="1"/>
  <c r="O25" i="1" s="1"/>
  <c r="D25" i="1" s="1"/>
  <c r="J75" i="1"/>
  <c r="O75" i="1" s="1"/>
  <c r="D75" i="1" s="1"/>
  <c r="J112" i="1"/>
  <c r="O112" i="1" s="1"/>
  <c r="D112" i="1" s="1"/>
  <c r="J131" i="1"/>
  <c r="O131" i="1" s="1"/>
  <c r="J106" i="1"/>
  <c r="O106" i="1" s="1"/>
  <c r="D106" i="1" s="1"/>
  <c r="J211" i="1"/>
  <c r="O211" i="1" s="1"/>
  <c r="D211" i="1" s="1"/>
  <c r="J139" i="1"/>
  <c r="O139" i="1" s="1"/>
  <c r="J126" i="1"/>
  <c r="O126" i="1" s="1"/>
  <c r="D126" i="1" s="1"/>
  <c r="J113" i="1"/>
  <c r="O113" i="1" s="1"/>
  <c r="D113" i="1" s="1"/>
  <c r="J29" i="1"/>
  <c r="O29" i="1" s="1"/>
  <c r="D29" i="1" s="1"/>
  <c r="J184" i="1"/>
  <c r="O184" i="1" s="1"/>
  <c r="D184" i="1" s="1"/>
  <c r="J125" i="1"/>
  <c r="O125" i="1" s="1"/>
  <c r="J121" i="1"/>
  <c r="O121" i="1" s="1"/>
  <c r="D121" i="1" s="1"/>
  <c r="J181" i="1"/>
  <c r="O181" i="1" s="1"/>
  <c r="J80" i="1"/>
  <c r="O80" i="1" s="1"/>
  <c r="J19" i="1"/>
  <c r="O19" i="1" s="1"/>
  <c r="D19" i="1" s="1"/>
  <c r="J21" i="1"/>
  <c r="O21" i="1" s="1"/>
  <c r="D21" i="1" s="1"/>
  <c r="J46" i="1"/>
  <c r="O46" i="1" s="1"/>
  <c r="D46" i="1" s="1"/>
  <c r="J65" i="1"/>
  <c r="O65" i="1" s="1"/>
  <c r="J140" i="1"/>
  <c r="O140" i="1" s="1"/>
  <c r="D140" i="1" s="1"/>
  <c r="J40" i="1"/>
  <c r="O40" i="1" s="1"/>
  <c r="D40" i="1" s="1"/>
  <c r="J77" i="1"/>
  <c r="O77" i="1" s="1"/>
  <c r="J231" i="1"/>
  <c r="O231" i="1" s="1"/>
  <c r="D231" i="1" s="1"/>
  <c r="J201" i="1"/>
  <c r="O201" i="1" s="1"/>
  <c r="D201" i="1" s="1"/>
  <c r="J62" i="1"/>
  <c r="O62" i="1" s="1"/>
  <c r="J220" i="1"/>
  <c r="O220" i="1" s="1"/>
  <c r="D220" i="1" s="1"/>
  <c r="J155" i="1"/>
  <c r="O155" i="1" s="1"/>
  <c r="D155" i="1" s="1"/>
  <c r="J57" i="1"/>
  <c r="O57" i="1" s="1"/>
  <c r="D57" i="1" s="1"/>
  <c r="J217" i="1"/>
  <c r="O217" i="1" s="1"/>
  <c r="D217" i="1" s="1"/>
  <c r="J228" i="1"/>
  <c r="O228" i="1" s="1"/>
  <c r="D228" i="1" s="1"/>
  <c r="J28" i="1"/>
  <c r="O28" i="1" s="1"/>
  <c r="D28" i="1" s="1"/>
  <c r="J178" i="1"/>
  <c r="O178" i="1" s="1"/>
  <c r="D178" i="1" s="1"/>
  <c r="J105" i="1"/>
  <c r="O105" i="1" s="1"/>
  <c r="D105" i="1" s="1"/>
  <c r="J144" i="1"/>
  <c r="O144" i="1" s="1"/>
  <c r="D144" i="1" s="1"/>
  <c r="J64" i="1"/>
  <c r="O64" i="1" s="1"/>
  <c r="D64" i="1" s="1"/>
  <c r="J209" i="1"/>
  <c r="O209" i="1" s="1"/>
  <c r="J45" i="1"/>
  <c r="O45" i="1" s="1"/>
  <c r="D45" i="1" s="1"/>
  <c r="J172" i="1"/>
  <c r="O172" i="1" s="1"/>
  <c r="J158" i="1"/>
  <c r="O158" i="1" s="1"/>
  <c r="J91" i="1"/>
  <c r="O91" i="1" s="1"/>
  <c r="J202" i="1"/>
  <c r="O202" i="1" s="1"/>
  <c r="D202" i="1" s="1"/>
  <c r="J145" i="1"/>
  <c r="O145" i="1" s="1"/>
  <c r="D145" i="1" s="1"/>
  <c r="J127" i="1"/>
  <c r="O127" i="1" s="1"/>
  <c r="D127" i="1" s="1"/>
  <c r="J180" i="1"/>
  <c r="O180" i="1" s="1"/>
  <c r="D180" i="1" s="1"/>
  <c r="J81" i="1"/>
  <c r="O81" i="1" s="1"/>
  <c r="D81" i="1" s="1"/>
  <c r="J83" i="1"/>
  <c r="O83" i="1" s="1"/>
  <c r="D83" i="1" s="1"/>
  <c r="J26" i="1"/>
  <c r="O26" i="1" s="1"/>
  <c r="D26" i="1" s="1"/>
  <c r="J103" i="1"/>
  <c r="O103" i="1" s="1"/>
  <c r="D103" i="1" s="1"/>
  <c r="J229" i="1"/>
  <c r="O229" i="1" s="1"/>
  <c r="D229" i="1" s="1"/>
  <c r="J169" i="1"/>
  <c r="O169" i="1" s="1"/>
  <c r="J111" i="1"/>
  <c r="O111" i="1" s="1"/>
  <c r="J166" i="1"/>
  <c r="O166" i="1" s="1"/>
  <c r="D166" i="1" s="1"/>
  <c r="J70" i="1"/>
  <c r="O70" i="1" s="1"/>
  <c r="D70" i="1" s="1"/>
  <c r="J87" i="1"/>
  <c r="O87" i="1" s="1"/>
  <c r="J190" i="1"/>
  <c r="O190" i="1" s="1"/>
  <c r="J221" i="1"/>
  <c r="O221" i="1" s="1"/>
  <c r="D221" i="1" s="1"/>
  <c r="D182" i="1"/>
  <c r="J232" i="1"/>
  <c r="O232" i="1" s="1"/>
  <c r="J30" i="1"/>
  <c r="O30" i="1" s="1"/>
  <c r="J137" i="1"/>
  <c r="O137" i="1" s="1"/>
  <c r="D137" i="1" s="1"/>
  <c r="J93" i="1"/>
  <c r="O93" i="1" s="1"/>
  <c r="J41" i="1"/>
  <c r="O41" i="1" s="1"/>
  <c r="D41" i="1" s="1"/>
  <c r="J185" i="1"/>
  <c r="O185" i="1" s="1"/>
  <c r="D185" i="1" s="1"/>
  <c r="J124" i="1"/>
  <c r="O124" i="1" s="1"/>
  <c r="D124" i="1" s="1"/>
  <c r="J56" i="1"/>
  <c r="O56" i="1" s="1"/>
  <c r="D56" i="1" s="1"/>
  <c r="J142" i="1"/>
  <c r="O142" i="1" s="1"/>
  <c r="D142" i="1" s="1"/>
  <c r="J59" i="1"/>
  <c r="O59" i="1" s="1"/>
  <c r="D59" i="1" s="1"/>
  <c r="J78" i="1"/>
  <c r="O78" i="1" s="1"/>
  <c r="D78" i="1" s="1"/>
  <c r="J104" i="1"/>
  <c r="O104" i="1" s="1"/>
  <c r="D104" i="1" s="1"/>
  <c r="J69" i="1"/>
  <c r="O69" i="1" s="1"/>
  <c r="D69" i="1" s="1"/>
  <c r="J206" i="1"/>
  <c r="O206" i="1" s="1"/>
  <c r="D206" i="1" s="1"/>
  <c r="J222" i="1"/>
  <c r="O222" i="1" s="1"/>
  <c r="J179" i="1"/>
  <c r="O179" i="1" s="1"/>
  <c r="J16" i="1"/>
  <c r="O16" i="1" s="1"/>
  <c r="J33" i="1"/>
  <c r="O33" i="1" s="1"/>
  <c r="D33" i="1" s="1"/>
  <c r="J60" i="1"/>
  <c r="O60" i="1" s="1"/>
  <c r="D60" i="1" s="1"/>
  <c r="J39" i="1"/>
  <c r="O39" i="1" s="1"/>
  <c r="D39" i="1" s="1"/>
  <c r="J176" i="1"/>
  <c r="O176" i="1" s="1"/>
  <c r="J43" i="1"/>
  <c r="O43" i="1" s="1"/>
  <c r="D43" i="1" s="1"/>
  <c r="J114" i="1"/>
  <c r="O114" i="1" s="1"/>
  <c r="J167" i="1"/>
  <c r="O167" i="1" s="1"/>
  <c r="J31" i="1"/>
  <c r="O31" i="1" s="1"/>
  <c r="D31" i="1" s="1"/>
  <c r="J146" i="1"/>
  <c r="O146" i="1" s="1"/>
  <c r="D146" i="1" s="1"/>
  <c r="J38" i="1"/>
  <c r="O38" i="1" s="1"/>
  <c r="D38" i="1" s="1"/>
  <c r="J208" i="1"/>
  <c r="O208" i="1" s="1"/>
  <c r="J73" i="1"/>
  <c r="O73" i="1" s="1"/>
  <c r="D73" i="1" s="1"/>
  <c r="J200" i="1"/>
  <c r="O200" i="1" s="1"/>
  <c r="J224" i="1"/>
  <c r="O224" i="1" s="1"/>
  <c r="D224" i="1" s="1"/>
  <c r="J173" i="1"/>
  <c r="O173" i="1" s="1"/>
  <c r="D173" i="1" s="1"/>
  <c r="J72" i="1"/>
  <c r="O72" i="1" s="1"/>
  <c r="J230" i="1"/>
  <c r="O230" i="1" s="1"/>
  <c r="D230" i="1" s="1"/>
  <c r="J109" i="1"/>
  <c r="O109" i="1" s="1"/>
  <c r="D109" i="1" s="1"/>
  <c r="J115" i="1"/>
  <c r="O115" i="1" s="1"/>
  <c r="D115" i="1" s="1"/>
  <c r="J119" i="1"/>
  <c r="O119" i="1" s="1"/>
  <c r="D119" i="1" s="1"/>
  <c r="J58" i="1"/>
  <c r="O58" i="1" s="1"/>
  <c r="J168" i="1"/>
  <c r="O168" i="1" s="1"/>
  <c r="D168" i="1" s="1"/>
  <c r="J174" i="1"/>
  <c r="O174" i="1" s="1"/>
  <c r="D174" i="1" s="1"/>
  <c r="J89" i="1"/>
  <c r="O89" i="1" s="1"/>
  <c r="D89" i="1" s="1"/>
  <c r="J156" i="1"/>
  <c r="O156" i="1" s="1"/>
  <c r="D156" i="1" s="1"/>
  <c r="E87" i="1"/>
  <c r="H87" i="1" s="1"/>
  <c r="E36" i="1"/>
  <c r="H36" i="1" s="1"/>
  <c r="E157" i="1"/>
  <c r="H157" i="1" s="1"/>
  <c r="D157" i="1" s="1"/>
  <c r="E187" i="1"/>
  <c r="H187" i="1" s="1"/>
  <c r="E58" i="1"/>
  <c r="H58" i="1" s="1"/>
  <c r="E177" i="1"/>
  <c r="H177" i="1" s="1"/>
  <c r="D177" i="1" s="1"/>
  <c r="E132" i="1"/>
  <c r="H132" i="1" s="1"/>
  <c r="D132" i="1" s="1"/>
  <c r="E125" i="1"/>
  <c r="H125" i="1" s="1"/>
  <c r="E179" i="1"/>
  <c r="H179" i="1" s="1"/>
  <c r="E215" i="1"/>
  <c r="H215" i="1" s="1"/>
  <c r="E114" i="1"/>
  <c r="H114" i="1" s="1"/>
  <c r="E169" i="1"/>
  <c r="H169" i="1" s="1"/>
  <c r="E205" i="1"/>
  <c r="H205" i="1" s="1"/>
  <c r="E111" i="1"/>
  <c r="H111" i="1" s="1"/>
  <c r="E71" i="1"/>
  <c r="H71" i="1" s="1"/>
  <c r="E62" i="1"/>
  <c r="H62" i="1" s="1"/>
  <c r="E170" i="1"/>
  <c r="H170" i="1" s="1"/>
  <c r="E176" i="1"/>
  <c r="H176" i="1" s="1"/>
  <c r="E232" i="1"/>
  <c r="H232" i="1" s="1"/>
  <c r="E74" i="1"/>
  <c r="H74" i="1" s="1"/>
  <c r="E17" i="1"/>
  <c r="H17" i="1" s="1"/>
  <c r="E80" i="1"/>
  <c r="H80" i="1" s="1"/>
  <c r="E209" i="1"/>
  <c r="H209" i="1" s="1"/>
  <c r="E107" i="1"/>
  <c r="H107" i="1" s="1"/>
  <c r="E207" i="1"/>
  <c r="H207" i="1" s="1"/>
  <c r="E34" i="1"/>
  <c r="H34" i="1" s="1"/>
  <c r="E183" i="1"/>
  <c r="H183" i="1" s="1"/>
  <c r="E190" i="1"/>
  <c r="H190" i="1" s="1"/>
  <c r="E225" i="1"/>
  <c r="H225" i="1" s="1"/>
  <c r="E110" i="1"/>
  <c r="H110" i="1" s="1"/>
  <c r="E181" i="1"/>
  <c r="H181" i="1" s="1"/>
  <c r="E208" i="1"/>
  <c r="H208" i="1" s="1"/>
  <c r="E16" i="1"/>
  <c r="H16" i="1" s="1"/>
  <c r="E222" i="1"/>
  <c r="H222" i="1" s="1"/>
  <c r="E172" i="1"/>
  <c r="H172" i="1" s="1"/>
  <c r="E72" i="1"/>
  <c r="H72" i="1" s="1"/>
  <c r="E139" i="1"/>
  <c r="H139" i="1" s="1"/>
  <c r="E91" i="1"/>
  <c r="H91" i="1" s="1"/>
  <c r="E167" i="1"/>
  <c r="H167" i="1" s="1"/>
  <c r="E200" i="1"/>
  <c r="H200" i="1" s="1"/>
  <c r="E158" i="1"/>
  <c r="H158" i="1" s="1"/>
  <c r="D65" i="1" l="1"/>
  <c r="D36" i="1"/>
  <c r="D34" i="1"/>
  <c r="D169" i="1"/>
  <c r="O233" i="1"/>
  <c r="D233" i="1" s="1"/>
  <c r="D125" i="1"/>
  <c r="D67" i="1"/>
  <c r="D68" i="1"/>
  <c r="D17" i="1"/>
  <c r="D215" i="1"/>
  <c r="D208" i="1"/>
  <c r="D91" i="1"/>
  <c r="D76" i="1"/>
  <c r="D114" i="1"/>
  <c r="D77" i="1"/>
  <c r="D170" i="1"/>
  <c r="D110" i="1"/>
  <c r="D183" i="1"/>
  <c r="D225" i="1"/>
  <c r="D72" i="1"/>
  <c r="D190" i="1"/>
  <c r="D58" i="1"/>
  <c r="D158" i="1"/>
  <c r="D207" i="1"/>
  <c r="D172" i="1"/>
  <c r="D187" i="1"/>
  <c r="D62" i="1"/>
  <c r="D181" i="1"/>
  <c r="D71" i="1"/>
  <c r="D139" i="1"/>
  <c r="D205" i="1"/>
  <c r="D107" i="1"/>
  <c r="D167" i="1"/>
  <c r="D209" i="1"/>
  <c r="D80" i="1"/>
  <c r="D111" i="1"/>
  <c r="D222" i="1"/>
  <c r="D179" i="1"/>
  <c r="D16" i="1"/>
  <c r="D200" i="1"/>
  <c r="D87" i="1"/>
  <c r="D176" i="1"/>
</calcChain>
</file>

<file path=xl/sharedStrings.xml><?xml version="1.0" encoding="utf-8"?>
<sst xmlns="http://schemas.openxmlformats.org/spreadsheetml/2006/main" count="679" uniqueCount="365">
  <si>
    <t xml:space="preserve"> </t>
  </si>
  <si>
    <t>PRIMARY</t>
  </si>
  <si>
    <t>SECONDARY</t>
  </si>
  <si>
    <t>-------</t>
  </si>
  <si>
    <t>---------</t>
  </si>
  <si>
    <t>YAVAPAI COUNTY, ARIZONA</t>
  </si>
  <si>
    <t>Yavapai County</t>
  </si>
  <si>
    <t>Fire District Assistance</t>
  </si>
  <si>
    <t>Yavapai College</t>
  </si>
  <si>
    <t>Flood Control District</t>
  </si>
  <si>
    <t>Library District</t>
  </si>
  <si>
    <t>HIDE</t>
  </si>
  <si>
    <t>PRIMARY TAX RATES</t>
  </si>
  <si>
    <t>SECONDARY TAX RATES</t>
  </si>
  <si>
    <t>TAX</t>
  </si>
  <si>
    <t>TAX DISTRICT JURISDICTIONS</t>
  </si>
  <si>
    <t>COUNTY/</t>
  </si>
  <si>
    <t xml:space="preserve"> CITY/</t>
  </si>
  <si>
    <t xml:space="preserve">  SCHOOL</t>
  </si>
  <si>
    <t xml:space="preserve"> PRIM.</t>
  </si>
  <si>
    <t xml:space="preserve"> REDUC.</t>
  </si>
  <si>
    <t>CITY/</t>
  </si>
  <si>
    <t xml:space="preserve"> FIRE</t>
  </si>
  <si>
    <t xml:space="preserve"> SPEC.</t>
  </si>
  <si>
    <t>SEC.</t>
  </si>
  <si>
    <t>DIST.</t>
  </si>
  <si>
    <t>AND DESCRIPTIONS</t>
  </si>
  <si>
    <t>HOME</t>
  </si>
  <si>
    <t>STATE/</t>
  </si>
  <si>
    <t xml:space="preserve"> TOWN</t>
  </si>
  <si>
    <t>TOTAL</t>
  </si>
  <si>
    <t xml:space="preserve"> RATE(1)</t>
  </si>
  <si>
    <t>TOWN</t>
  </si>
  <si>
    <t xml:space="preserve"> DIST.</t>
  </si>
  <si>
    <t>NO.</t>
  </si>
  <si>
    <t>COLLEGE</t>
  </si>
  <si>
    <t>0105</t>
  </si>
  <si>
    <t>0106</t>
  </si>
  <si>
    <t>0120</t>
  </si>
  <si>
    <t>0122</t>
  </si>
  <si>
    <t>0124</t>
  </si>
  <si>
    <t>Prescott S.D., Prescott, H.D., Holiday Hills W.I.D.,</t>
  </si>
  <si>
    <t>0125</t>
  </si>
  <si>
    <t>0126</t>
  </si>
  <si>
    <t>0140</t>
  </si>
  <si>
    <t>0143</t>
  </si>
  <si>
    <t>0145</t>
  </si>
  <si>
    <t>0181</t>
  </si>
  <si>
    <t>0183</t>
  </si>
  <si>
    <t>0184</t>
  </si>
  <si>
    <t>0185</t>
  </si>
  <si>
    <t>Prescott S.D., H.D., C.Y.F.D., Holiday Hills W.I.D.,</t>
  </si>
  <si>
    <t>0186</t>
  </si>
  <si>
    <t>0190</t>
  </si>
  <si>
    <t>0191</t>
  </si>
  <si>
    <t>0192</t>
  </si>
  <si>
    <t xml:space="preserve">0196  </t>
  </si>
  <si>
    <t>0197</t>
  </si>
  <si>
    <t>0198</t>
  </si>
  <si>
    <t>0199</t>
  </si>
  <si>
    <t>PRIM.</t>
  </si>
  <si>
    <t xml:space="preserve">0200 </t>
  </si>
  <si>
    <t>0240</t>
  </si>
  <si>
    <t>0241</t>
  </si>
  <si>
    <t>0243</t>
  </si>
  <si>
    <t>0244</t>
  </si>
  <si>
    <t>0245</t>
  </si>
  <si>
    <t>0300</t>
  </si>
  <si>
    <t>(2)</t>
  </si>
  <si>
    <t>Clkdl/Jerome S.D., Valley Academy Education D.</t>
  </si>
  <si>
    <t>0301</t>
  </si>
  <si>
    <t>0360</t>
  </si>
  <si>
    <t>0361</t>
  </si>
  <si>
    <t>Clkdl/Jerome S.D., Clarkdale, Clarkdale Indian</t>
  </si>
  <si>
    <t>Res. Dist. #3, Valley Academy Education D.</t>
  </si>
  <si>
    <t>0370</t>
  </si>
  <si>
    <t xml:space="preserve">Clkdl/Jerome S.D., Verde Valley F.D., Vly Acad Ed D. </t>
  </si>
  <si>
    <t>0371</t>
  </si>
  <si>
    <t>Valley Academy Education D.</t>
  </si>
  <si>
    <t>0380</t>
  </si>
  <si>
    <t>Clkdl/Jerome S.D., Jerome, Vly Acad Ed D.</t>
  </si>
  <si>
    <t>0600</t>
  </si>
  <si>
    <t>Cttnwd Oak Ck S.D., Valley Academy Education D.</t>
  </si>
  <si>
    <t>0601</t>
  </si>
  <si>
    <t>Cttnwd Oak Ck S.D., Sedona F.D., Vly Acad Ed D.</t>
  </si>
  <si>
    <t>0620</t>
  </si>
  <si>
    <t>Cttnwd Oak Ck S.D., Verde Valley F.D., Vly Acad Ed D.</t>
  </si>
  <si>
    <t>0622</t>
  </si>
  <si>
    <t>Cttnwd Oak Ck S.D., Camp Verde, Verde Vly F.D., Vly Acad Ed D.</t>
  </si>
  <si>
    <t>0630</t>
  </si>
  <si>
    <t>Cttnwd Oak Ck S.D., Cottonwood, Vly Acad Ed D.</t>
  </si>
  <si>
    <t>0660</t>
  </si>
  <si>
    <t>0681</t>
  </si>
  <si>
    <t>Cttnwd Oak Ck S.D., Cottonwood, Verde Valley F.D.,</t>
  </si>
  <si>
    <t>0970</t>
  </si>
  <si>
    <t xml:space="preserve">0971     </t>
  </si>
  <si>
    <t xml:space="preserve">0976   </t>
  </si>
  <si>
    <t>Sedona Oak Ck S.D., Sedona, Sedona F.D., Valley</t>
  </si>
  <si>
    <t>1540</t>
  </si>
  <si>
    <t>Skull Valley S.D., H.D.</t>
  </si>
  <si>
    <t xml:space="preserve">SEC. </t>
  </si>
  <si>
    <t>1700</t>
  </si>
  <si>
    <t>Congress S.D.</t>
  </si>
  <si>
    <t>1701</t>
  </si>
  <si>
    <t>1740</t>
  </si>
  <si>
    <t>Congress S.D., H.D.</t>
  </si>
  <si>
    <t>1770</t>
  </si>
  <si>
    <t>Congress S.D., Congress F.D.</t>
  </si>
  <si>
    <t>1771</t>
  </si>
  <si>
    <t>1780</t>
  </si>
  <si>
    <t>Congress S.D., Wickenburg F.D.</t>
  </si>
  <si>
    <t>2000</t>
  </si>
  <si>
    <t>2040</t>
  </si>
  <si>
    <t>2200</t>
  </si>
  <si>
    <t>2210</t>
  </si>
  <si>
    <t>2240</t>
  </si>
  <si>
    <t>2245</t>
  </si>
  <si>
    <t>2246</t>
  </si>
  <si>
    <t>2280</t>
  </si>
  <si>
    <t>2281</t>
  </si>
  <si>
    <t>2282</t>
  </si>
  <si>
    <t>2283</t>
  </si>
  <si>
    <t>2284</t>
  </si>
  <si>
    <t>2291</t>
  </si>
  <si>
    <t>2295</t>
  </si>
  <si>
    <t>Humboldt S.D., Prescott Valley, H.D.,</t>
  </si>
  <si>
    <t>2296</t>
  </si>
  <si>
    <t>Humboldt S.D., Prescott Valley, H.D., C.Y.F.D.,</t>
  </si>
  <si>
    <t>2297</t>
  </si>
  <si>
    <t>2340</t>
  </si>
  <si>
    <t>Kirkland S.D., H.D.</t>
  </si>
  <si>
    <t>2341</t>
  </si>
  <si>
    <t>Kirkland S.D., H.D., C.Y.F.D.</t>
  </si>
  <si>
    <t>2342</t>
  </si>
  <si>
    <t>Kirkland S.D., H.D., Peeples Valley F.D.</t>
  </si>
  <si>
    <t>2600</t>
  </si>
  <si>
    <t>Beaver Creek S.D.</t>
  </si>
  <si>
    <t>2601</t>
  </si>
  <si>
    <t>Beaver Creek S.D., Sedona F.D.</t>
  </si>
  <si>
    <t>2690</t>
  </si>
  <si>
    <t>2800</t>
  </si>
  <si>
    <t>Camp Verde S.D., Valley Academy Education D.</t>
  </si>
  <si>
    <t>2802</t>
  </si>
  <si>
    <t>Camp Verde S.D., Verde Valley F.D., Vly Acad Ed D.</t>
  </si>
  <si>
    <t>2804</t>
  </si>
  <si>
    <t>Camp Verde S.D., Camp Verde, Verde Valley F.D., Vly Acad Ed D.</t>
  </si>
  <si>
    <t>2870</t>
  </si>
  <si>
    <t>2871</t>
  </si>
  <si>
    <t>Res. Dist. #28, Valley Academy Education D.</t>
  </si>
  <si>
    <t>2873</t>
  </si>
  <si>
    <t xml:space="preserve">2877 </t>
  </si>
  <si>
    <t>3100</t>
  </si>
  <si>
    <t>3170</t>
  </si>
  <si>
    <t>3171</t>
  </si>
  <si>
    <t>3172</t>
  </si>
  <si>
    <t>3173</t>
  </si>
  <si>
    <t>3540</t>
  </si>
  <si>
    <t>Hillside S.D., H.D.</t>
  </si>
  <si>
    <t>4000</t>
  </si>
  <si>
    <t>4070</t>
  </si>
  <si>
    <t>4071</t>
  </si>
  <si>
    <t>4072</t>
  </si>
  <si>
    <t>4073</t>
  </si>
  <si>
    <t>4074</t>
  </si>
  <si>
    <t>4075</t>
  </si>
  <si>
    <t>4100</t>
  </si>
  <si>
    <t>4300</t>
  </si>
  <si>
    <t>4301</t>
  </si>
  <si>
    <t>4310</t>
  </si>
  <si>
    <t>4340</t>
  </si>
  <si>
    <t>4341</t>
  </si>
  <si>
    <t>4370</t>
  </si>
  <si>
    <t>4371</t>
  </si>
  <si>
    <t>4380</t>
  </si>
  <si>
    <t>4390</t>
  </si>
  <si>
    <t>5000</t>
  </si>
  <si>
    <t>Canon S.D.</t>
  </si>
  <si>
    <t>5001</t>
  </si>
  <si>
    <t>Canon S.D., Mayer W.I.D.</t>
  </si>
  <si>
    <t>5010</t>
  </si>
  <si>
    <t>5020</t>
  </si>
  <si>
    <t>5100</t>
  </si>
  <si>
    <t>5120</t>
  </si>
  <si>
    <t xml:space="preserve">5121 </t>
  </si>
  <si>
    <t>5122</t>
  </si>
  <si>
    <t xml:space="preserve">5131 </t>
  </si>
  <si>
    <t>5132</t>
  </si>
  <si>
    <t>(3)</t>
  </si>
  <si>
    <t xml:space="preserve">Chino Vly S.D., H.D., Chino Valley, </t>
  </si>
  <si>
    <t>5140</t>
  </si>
  <si>
    <t>5144</t>
  </si>
  <si>
    <t>5150</t>
  </si>
  <si>
    <t>5160</t>
  </si>
  <si>
    <t>5190</t>
  </si>
  <si>
    <t>5200</t>
  </si>
  <si>
    <t>Yarnell S.D.</t>
  </si>
  <si>
    <t>5201</t>
  </si>
  <si>
    <t>Yarnell S.D., Peeples Valley F.D.</t>
  </si>
  <si>
    <t>5270</t>
  </si>
  <si>
    <t>Yarnell S.D., Yarnell F.D.</t>
  </si>
  <si>
    <t>5290</t>
  </si>
  <si>
    <t>Yarnell S.D., Yarnell F.D., Yarnell S.L.I.D.</t>
  </si>
  <si>
    <t>9000</t>
  </si>
  <si>
    <t>9001</t>
  </si>
  <si>
    <t xml:space="preserve">  (1)  This reduction rate is applied to PRIMARY VALUATION OF CLASS V PROPERTY ONLY to figure the "Less State Aid to Education" figure on Class III tax bills.</t>
  </si>
  <si>
    <t xml:space="preserve">  (4)  Camp Verde Sanitary District Assessment Only $1.00 per unit.</t>
  </si>
  <si>
    <t xml:space="preserve">  S.D. = School District                                   W.W.I.D. = Waste Water Improvement District</t>
  </si>
  <si>
    <t xml:space="preserve">  F.D. = Fire District                                         R.I.D. = Road Improvement District</t>
  </si>
  <si>
    <t xml:space="preserve">  H.D. = Hospital District                                 San. D. = Sanitary District</t>
  </si>
  <si>
    <t xml:space="preserve">  W.I.D. = Water Improvement District        S.L.I.D. = Street Lighting Improvement District</t>
  </si>
  <si>
    <t>0977</t>
  </si>
  <si>
    <t>Sedona Oak Ck S.D., Sedona F.D., Retreat at Oak Creek D.W.I.D.,</t>
  </si>
  <si>
    <t>0107</t>
  </si>
  <si>
    <t>School Equalization</t>
  </si>
  <si>
    <t xml:space="preserve">Prescott S.D., Prescott, H.D., Hassayampa Com. Fac. Dist., </t>
  </si>
  <si>
    <t>Prescott S.D., Prescott, H.D., High Vly Ranch Domestic W.W.I.D.,</t>
  </si>
  <si>
    <t>Prescott S.D., H.D., C.Y. F.D., Inscription Canyon San. D.,</t>
  </si>
  <si>
    <t>0978</t>
  </si>
  <si>
    <t>Congress S.D., Congress Dom W.I.D.</t>
  </si>
  <si>
    <t>Congress S.D., Congress F.D., Congress Dom W.I.D.</t>
  </si>
  <si>
    <t xml:space="preserve">Congress S.D., Congress F.D., Congress Dom W.I.D., </t>
  </si>
  <si>
    <t>5135</t>
  </si>
  <si>
    <t xml:space="preserve">Chino Vly S.D., Chino Vly, H.D., Chino Vly F.D., </t>
  </si>
  <si>
    <t>0187</t>
  </si>
  <si>
    <t>2247</t>
  </si>
  <si>
    <t xml:space="preserve">Sedona Oak Ck S.D.,  Sedona F.D., Red Rock Rd Ehn Dist., </t>
  </si>
  <si>
    <t>Sedona Oak Ck S.D., Sedona F.D., Valley Academy Ed. D., Min. Schl Tax</t>
  </si>
  <si>
    <t>Valley Academy Education D., Min. Schl Tax</t>
  </si>
  <si>
    <t>Academy Education D., Min. Schl Tax</t>
  </si>
  <si>
    <t>0246</t>
  </si>
  <si>
    <t>4001</t>
  </si>
  <si>
    <t>0146</t>
  </si>
  <si>
    <t>2248</t>
  </si>
  <si>
    <t>Clkdl/Jerome S.D., Cottonwood, Valley Academy Education District</t>
  </si>
  <si>
    <t>Crown King S.D., Minimum Schl Tax</t>
  </si>
  <si>
    <t>Crown King S.D., Crown King F.D., Minimum Schl Tax</t>
  </si>
  <si>
    <t>Williamson Valley S.D., Minimum Schl Tax</t>
  </si>
  <si>
    <t>Williamson Valley S.D., H.D., Minimum Schl Tax</t>
  </si>
  <si>
    <t>Williamson Valley S.D., H.D., Chino Valley F.D., Minimum Schl Tax</t>
  </si>
  <si>
    <t>Williamson Valley S.D., H.D., Inscription Canyon San. D., Minimum Schl Tax</t>
  </si>
  <si>
    <t>Williamson Valley S.D., H.D., Williamson Vly F.D., Minimum Schl Tax</t>
  </si>
  <si>
    <t>Williamson Valley S.D., H.D., Williamson Vly F.D., Tipeji DWID,Min. Schl Tax</t>
  </si>
  <si>
    <t>Williamson Valley S.D., H.D., Yavapai Ranch DWID, Minimum Schl Tax</t>
  </si>
  <si>
    <t>Sedona Oak Ck S.D., Sedona F.D., Red Rock Rd Enhancement Dist.,</t>
  </si>
  <si>
    <t xml:space="preserve">NOTE: PRIM. TAX RATES &amp; SEC. TAX RATES ARE APPLIED TO LIMITED PROPERTY VALUE (LPV).  </t>
  </si>
  <si>
    <t>0189</t>
  </si>
  <si>
    <t>Clkdl/Jerome S.D., Verde Valley F.D., Vly Acad Ed D.</t>
  </si>
  <si>
    <t>Clkdl/Jerome S.D., Clarkdale, Verde Valley F.D., Vly Acad Ed D.</t>
  </si>
  <si>
    <t xml:space="preserve">Cttnwd Oak Ck S.D., Clarkdale, Verde Valley F.D., Vly Acad Ed D. </t>
  </si>
  <si>
    <t>0979</t>
  </si>
  <si>
    <t>Sedona Oak Ck S.D.,  Sedona F.D., Mystic Heights D.W.I.D., Mystic Heights</t>
  </si>
  <si>
    <t>D.W.W.I.D., Valley Academy Education D., Min. Schl Tax</t>
  </si>
  <si>
    <t>Canon S.D., Daisy Mtn F.D., Black Canyon City W.I.D.</t>
  </si>
  <si>
    <t>Prescott S.D., H.D., C.Y.F.D., High Vly Ranch Domestic W.W.I.D.,</t>
  </si>
  <si>
    <t xml:space="preserve">Prescott S.D., Prescott, H.D., Hassayampa C.F.D., </t>
  </si>
  <si>
    <t>Kings Ranch Unit 2 Dom. W.I.D.</t>
  </si>
  <si>
    <t xml:space="preserve">  C.I.D. = County Improvement District       C.F.D. = Community Facilities District</t>
  </si>
  <si>
    <t>Beaver Creek S.D., Copper Canyon F.D.</t>
  </si>
  <si>
    <t>Camp Verde S.D., Camp Verde, Copper Canyon F.D.,</t>
  </si>
  <si>
    <t>Camp Verde S.D., Copper Canyon F.D., Vly Acad Ed D.</t>
  </si>
  <si>
    <t>0980</t>
  </si>
  <si>
    <t>0602</t>
  </si>
  <si>
    <t>Cttnwd Oak Ck S.D., Copper Canyon F.D., Vly Acad Ed D.</t>
  </si>
  <si>
    <t>Sedona Oak Ck S.D., Sedona, Sedona F.D., Oak Creek D.W.I.D., Valley</t>
  </si>
  <si>
    <t>Prescott S.D., Groom Creek F.D., H.D., Mtn. Inst CTED</t>
  </si>
  <si>
    <t>Prescott S.D., H.D., C.Y. F.D., Jackson Acres WID., Mtn Inst CTED</t>
  </si>
  <si>
    <t>Prescott S.D., H.D., C.Y. F.D., Diamond Valley WID., Mtn Inst CTED</t>
  </si>
  <si>
    <t>Prescott S.D., Prescott, H.D., Mtn Inst CTED</t>
  </si>
  <si>
    <t>Mtn Inst CTED</t>
  </si>
  <si>
    <t>Calvary Chapel W.W.I.D., Mtn Inst CTED</t>
  </si>
  <si>
    <t>Prescott S.D., H.D., Mtn Inst CTED</t>
  </si>
  <si>
    <t>Prescott S.D., H.D., Chino Valley F.D., Mtn Inst CTED</t>
  </si>
  <si>
    <t>Prescott S.D., H.D., Williamson Valley F.D., Mtn Inst CTED</t>
  </si>
  <si>
    <t>Prescott S.D., Prescott Valley, H.D., Mtn Inst CTED</t>
  </si>
  <si>
    <t>Prescott S.D., H.D., C.Y.F.D., Ponderosa Park W.I.D., Mtn Inst CTED</t>
  </si>
  <si>
    <t>Prescott S.D., H.D., C.Y.F.D., Holiday Hills W.I.D., Mtn Inst CTED</t>
  </si>
  <si>
    <t>Prescott S.D., H.D., C.Y.F.D., Bryce Canyon SID, Mtn Inst CTED</t>
  </si>
  <si>
    <t>Prescott S.D., H.D., C.Y.F.D., Sheriff's Posse, Mtn Inst CTED</t>
  </si>
  <si>
    <t>Prescott S.D., H.D., C.Y.F.D., American Ranch D.W.I.D., Mtn Inst CTED</t>
  </si>
  <si>
    <t>Prescott S.D., H.D., C.Y.F.D., Mtn Inst CTED</t>
  </si>
  <si>
    <t>Prescott S.D., H.D., Yavapai Indian Res. Dist. #1, Mtn Inst CTED</t>
  </si>
  <si>
    <t>Prescott S.D., Prescott, H.D., Yavapai Indian Res.#1, Mtn Inst CTED</t>
  </si>
  <si>
    <t>Prescott S.D., H.D., C.Y.F.D., Highland Pines W.I.D., Mtn Inst CTED</t>
  </si>
  <si>
    <t>Prescott S.D., Prescott Valley, H.D., C.Y.F.D., Mtn Inst CTED</t>
  </si>
  <si>
    <t>Prescott S.D., H.D., C.Y.F.D., Creekside San. D., Mtn Inst CTED</t>
  </si>
  <si>
    <t>Bagdad S.D., Mtn Inst CTED</t>
  </si>
  <si>
    <t>Bagdad S.D., H.D., Mtn Inst CTED</t>
  </si>
  <si>
    <t>Humboldt S.D., Mtn Inst CTED</t>
  </si>
  <si>
    <t>Humboldt S.D., Chino Valley, H.D., Mtn Inst CTED</t>
  </si>
  <si>
    <t>Humboldt S.D., H.D., Mtn Inst CTED</t>
  </si>
  <si>
    <t>Eastridge C.F.D., Mtn Inst CTED</t>
  </si>
  <si>
    <t>Quailwood Meadows C.F.D., Mtn Inst CTED</t>
  </si>
  <si>
    <t>Northside CFD #1, Mtn Inst CTED</t>
  </si>
  <si>
    <t>Humboldt S.D., Prescott Valley, H.D., Mtn Inst CTED</t>
  </si>
  <si>
    <t>Humboldt S.D., Dewey-Humboldt, H.D., C.Y.F.D., Mtn Inst CTED</t>
  </si>
  <si>
    <t>Humboldt S.D., Dewey-Humboldt, H.D., Mtn Inst CTED</t>
  </si>
  <si>
    <t>Humboldt S.D., H.D., C.Y.F.D., Poquito Valley RID, Mtn Inst CTED</t>
  </si>
  <si>
    <t>Humboldt S.D., Prescott Valley, H.D., C.Y.F.D., Parkwy C.F.D., Mtn Inst CTED</t>
  </si>
  <si>
    <t>Humboldt S.D., Prescott Valley, H.D., C.Y.F.D., Southside C.F.D., Mtn Inst CTED</t>
  </si>
  <si>
    <t xml:space="preserve">Humboldt S.D., H.D., C.Y.F.D., Mtn Inst CTED </t>
  </si>
  <si>
    <t>Humboldt S.D., Prescott Valley, H.D., C.Y.F.D., Mtn Inst CTED</t>
  </si>
  <si>
    <t>C.Y.F.D., Stoneridge C.F.D., Mtn Inst CTED</t>
  </si>
  <si>
    <t>Pronghorn Ranch C.F.D., Mtn Inst CTED</t>
  </si>
  <si>
    <t>Raven Ridge C.F.D., Mtn Inst CTED</t>
  </si>
  <si>
    <t>Ash Fork S.D., Mtn Inst CTED</t>
  </si>
  <si>
    <t>Ash Fork S.D., Ash Fork F.D., Ash Fork S.L.I.D., Mtn Inst CTED</t>
  </si>
  <si>
    <t>Ash Fork S.D., Ash Fork F.D., Mtn Inst CTED</t>
  </si>
  <si>
    <t>Ash Fork S.D., Ash Fork F.D., Ash Fork S.L.I.D., Ash Fork San. D., Mtn Inst CTED</t>
  </si>
  <si>
    <t>Ash Fork S.D., Ash Fork F.D., Ash Fork San. D., Mtn Inst CTED</t>
  </si>
  <si>
    <t>Seligman S.D., Mtn Inst CTED</t>
  </si>
  <si>
    <t>Seligman S.D., Yavapai Ranch Dom. W.I.D., Mtn Inst CTED</t>
  </si>
  <si>
    <t>Seligman S.D., Seligman F.D., Mtn Inst CTED</t>
  </si>
  <si>
    <t>Seligman S.D., Hualapai Indian Res. Dist. #40, Mtn Inst CTED</t>
  </si>
  <si>
    <t>Seligman S.D., Seligman F.D., Seligman S.L.I.D., Mtn Inst CTED</t>
  </si>
  <si>
    <t>Seligman S.D., Seligman F.D., Seligman San. D., Mtn Inst CTED</t>
  </si>
  <si>
    <t>Seligman S.D., Seligman San. D., Mtn Inst CTED</t>
  </si>
  <si>
    <t>Mayer S.D., Mtn Inst CTED</t>
  </si>
  <si>
    <t>Mayer S.D., Mayer W.I.D., Mtn Inst CTED</t>
  </si>
  <si>
    <t>Mayer S.D., Daisy Mtn F.D., Mtn Inst CTED</t>
  </si>
  <si>
    <t>Mayer S.D., H.D., Mtn Inst CTED</t>
  </si>
  <si>
    <t>Mayer S.D., H.D., Mayer W.I.D., Mtn Inst CTED</t>
  </si>
  <si>
    <t>Mayer S.D., H.D., Mayer F.D., Mtn Inst CTED</t>
  </si>
  <si>
    <t>Mayer S.D., H.D., Mayer F.D., Mayer W.I.D., Mtn Inst CTED</t>
  </si>
  <si>
    <t>Mayer S.D., H.D., C.Y.F.D., Mtn Inst CTED</t>
  </si>
  <si>
    <t>Mayer S.D., Mayer F.D., Mtn Inst CTED</t>
  </si>
  <si>
    <t>Chino Valley S.D., Mtn Inst CTED</t>
  </si>
  <si>
    <t>Chino Vly S.D., H.D., Chino Vly F.D. , Mtn Inst CTED</t>
  </si>
  <si>
    <t>Chino Vly S.D., H.D., Chino Vly F.D., Mtn Inst CTED</t>
  </si>
  <si>
    <t>Chino Vly S.D., H.D., Chino Vly F.D., Quail Ridge W.I.D., Mtn Inst CTED</t>
  </si>
  <si>
    <t>Chino Vly S.D., H.D., Chino Valley, Chino Valley F.D., Mtn Inst CTED</t>
  </si>
  <si>
    <t>Chino Valley F.D., Chino Vly Irrig. Dist., Mtn Inst CTED</t>
  </si>
  <si>
    <t>Chino Valley F.D., Chino Vly SLID #1, Mtn Inst CTED</t>
  </si>
  <si>
    <t>Chino Valley F.D., Chino Vly SLID #2, Mtn Inst CTED</t>
  </si>
  <si>
    <t>Chino Vly SLID #3A, Mtn Inst CTED</t>
  </si>
  <si>
    <t>Chino Vly S.D., H.D., Mtn Inst CTED</t>
  </si>
  <si>
    <t>Chino Vly S.D., H.D., Chino Valley, Mtn Inst CTED</t>
  </si>
  <si>
    <t>Chino Vly S.D., H.D., Prescott, Mtn Inst CTED</t>
  </si>
  <si>
    <t>Chino Vly S.D., H.D., C.Y.F.D., Mtn Inst CTED</t>
  </si>
  <si>
    <t>Wickenburg S.D., West-MEC CTED, West-MEC Bond</t>
  </si>
  <si>
    <t>Wickenburg S.D., West-MEC CTED, West-MEC Bond,Wickenburg F.D.</t>
  </si>
  <si>
    <t>Wickenburg S.D., West-MEC CTED, West-MEC Bond, City of Peoria</t>
  </si>
  <si>
    <t>Wickenburg S.D., West-MEC CTED, West-MEC Bond, Town of Wickenburg</t>
  </si>
  <si>
    <t>Camp Verde S.D., Camp Verde, Copper Canyon F.D., Camp Verde San. D.,</t>
  </si>
  <si>
    <t>Valley Academy Education D., Verde Indian Res. Dist. #28</t>
  </si>
  <si>
    <t xml:space="preserve">Humboldt S.D., H.D., C.Y.F.D., Ventura Ranch D.W.I.D., Mtn Inst CTED  </t>
  </si>
  <si>
    <t>Humboldt S.D., Prescott Valley, H.D., C.Y.F.D., Entertainment Community</t>
  </si>
  <si>
    <t>Facilities District, Mtn Inst CTED</t>
  </si>
  <si>
    <t>Camp Verde S.D., Copper Canyon F.D., Camp Verde, Verde Indian</t>
  </si>
  <si>
    <t>Kirkland S.D., Minimum School Tax</t>
  </si>
  <si>
    <t>Canon S.D., Daisy Mtn F.D.</t>
  </si>
  <si>
    <t>0603</t>
  </si>
  <si>
    <t>0179</t>
  </si>
  <si>
    <t>Prescott S.D., H.D., C.Y.F.D., Stringfield Ranch D.W.I.D., Mtn Inst CTED</t>
  </si>
  <si>
    <t>Cttnwd Oak Ck S.D., Vly Acad Ed D., Cottonwood</t>
  </si>
  <si>
    <t xml:space="preserve">  (3)  Chino Valley Irrigation District.   $45.00 per wet acre.</t>
  </si>
  <si>
    <t>2249</t>
  </si>
  <si>
    <t>Humboldt S.D., H.D., Mayer F.D., Mtn Inst CTED</t>
  </si>
  <si>
    <t>Wickenburg S.D., West-MEC CTED</t>
  </si>
  <si>
    <t xml:space="preserve">  (2)  Elementary Districts Clarkdale-Jerome (No. 3) and Cottonwood Oak Creek (No. 6) include Mingus Union High School District (No. 4) levy.</t>
  </si>
  <si>
    <t>Big Park DWWID, Valley Academy Ed. D., Min. Schl Tax</t>
  </si>
  <si>
    <t xml:space="preserve">  D.W.W.I.D. = Domestic Waste Water Improvement District</t>
  </si>
  <si>
    <t>Weaver Mountain DWWID</t>
  </si>
  <si>
    <t>Chino Vly Maint Imp Dist, Mtn Inst CTED</t>
  </si>
  <si>
    <t>BREAKDOWN OF FY 2025-2026 TAX RATES</t>
  </si>
  <si>
    <t>Seligman S.D., Seligman F.D., Selig S.L.I.D., Selig San. D., Mtn Inst 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</si>
</sst>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&quot;$&quot;#,##0\ ;\(&quot;$&quot;#,##0\)"/>
    <numFmt numFmtId="166" formatCode="#,##0.0"/>
    <numFmt numFmtId="167" formatCode="0.0"/>
  </numFmts>
  <fonts count="33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indexed="10"/>
      <name val="Arial"/>
      <family val="2"/>
    </font>
    <font>
      <b/>
      <sz val="8"/>
      <name val="Times New Roman"/>
      <family val="1"/>
    </font>
    <font>
      <b/>
      <sz val="11"/>
      <name val="Arial"/>
      <family val="2"/>
    </font>
    <font>
      <b/>
      <sz val="8"/>
      <name val="Arial"/>
      <family val="2"/>
    </font>
    <font>
      <b/>
      <sz val="11"/>
      <color indexed="10"/>
      <name val="Times New Roman"/>
      <family val="1"/>
    </font>
    <font>
      <b/>
      <sz val="11"/>
      <color indexed="10"/>
      <name val="Arial"/>
      <family val="2"/>
    </font>
    <font>
      <b/>
      <sz val="9"/>
      <color indexed="10"/>
      <name val="Arial"/>
      <family val="2"/>
    </font>
    <font>
      <b/>
      <sz val="12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name val="Times New Roman"/>
      <family val="1"/>
    </font>
    <font>
      <sz val="14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8"/>
      <color rgb="FFFF0000"/>
      <name val="Times New Roman"/>
      <family val="1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7">
    <xf numFmtId="0" fontId="0" fillId="0" borderId="0" xfId="0"/>
    <xf numFmtId="166" fontId="16" fillId="0" borderId="11" xfId="1" quotePrefix="1" applyNumberFormat="1" applyFont="1" applyFill="1" applyBorder="1"/>
    <xf numFmtId="0" fontId="16" fillId="0" borderId="12" xfId="0" applyFont="1" applyFill="1" applyBorder="1"/>
    <xf numFmtId="165" fontId="2" fillId="0" borderId="12" xfId="2" applyNumberFormat="1" applyFont="1" applyFill="1" applyBorder="1"/>
    <xf numFmtId="164" fontId="4" fillId="0" borderId="14" xfId="0" applyNumberFormat="1" applyFont="1" applyFill="1" applyBorder="1" applyAlignment="1">
      <alignment horizontal="center"/>
    </xf>
    <xf numFmtId="0" fontId="16" fillId="0" borderId="29" xfId="0" applyFont="1" applyFill="1" applyBorder="1"/>
    <xf numFmtId="165" fontId="2" fillId="0" borderId="29" xfId="2" applyNumberFormat="1" applyFont="1" applyFill="1" applyBorder="1"/>
    <xf numFmtId="164" fontId="4" fillId="0" borderId="31" xfId="0" applyNumberFormat="1" applyFont="1" applyFill="1" applyBorder="1" applyAlignment="1">
      <alignment horizontal="center"/>
    </xf>
    <xf numFmtId="0" fontId="16" fillId="0" borderId="0" xfId="0" applyFont="1" applyFill="1"/>
    <xf numFmtId="165" fontId="2" fillId="0" borderId="0" xfId="2" applyNumberFormat="1" applyFont="1" applyFill="1" applyBorder="1"/>
    <xf numFmtId="164" fontId="4" fillId="0" borderId="0" xfId="0" applyNumberFormat="1" applyFont="1" applyFill="1" applyAlignment="1">
      <alignment horizontal="center"/>
    </xf>
    <xf numFmtId="0" fontId="16" fillId="0" borderId="3" xfId="0" applyFont="1" applyFill="1" applyBorder="1"/>
    <xf numFmtId="165" fontId="16" fillId="0" borderId="3" xfId="2" applyNumberFormat="1" applyFont="1" applyFill="1" applyBorder="1"/>
    <xf numFmtId="165" fontId="16" fillId="0" borderId="0" xfId="2" applyNumberFormat="1" applyFont="1" applyFill="1" applyBorder="1"/>
    <xf numFmtId="0" fontId="16" fillId="0" borderId="17" xfId="0" applyFont="1" applyFill="1" applyBorder="1"/>
    <xf numFmtId="165" fontId="2" fillId="0" borderId="17" xfId="2" applyNumberFormat="1" applyFont="1" applyFill="1" applyBorder="1"/>
    <xf numFmtId="0" fontId="16" fillId="0" borderId="21" xfId="0" applyFont="1" applyFill="1" applyBorder="1"/>
    <xf numFmtId="165" fontId="2" fillId="0" borderId="21" xfId="2" applyNumberFormat="1" applyFont="1" applyFill="1" applyBorder="1"/>
    <xf numFmtId="164" fontId="4" fillId="0" borderId="23" xfId="0" applyNumberFormat="1" applyFont="1" applyFill="1" applyBorder="1" applyAlignment="1">
      <alignment horizontal="center"/>
    </xf>
    <xf numFmtId="0" fontId="16" fillId="0" borderId="7" xfId="0" quotePrefix="1" applyFont="1" applyFill="1" applyBorder="1"/>
    <xf numFmtId="0" fontId="16" fillId="0" borderId="16" xfId="0" applyFont="1" applyFill="1" applyBorder="1"/>
    <xf numFmtId="0" fontId="21" fillId="0" borderId="0" xfId="0" applyFont="1" applyFill="1"/>
    <xf numFmtId="0" fontId="16" fillId="0" borderId="25" xfId="0" applyFont="1" applyFill="1" applyBorder="1"/>
    <xf numFmtId="0" fontId="23" fillId="0" borderId="25" xfId="0" applyFont="1" applyFill="1" applyBorder="1"/>
    <xf numFmtId="0" fontId="23" fillId="0" borderId="21" xfId="0" applyFont="1" applyFill="1" applyBorder="1"/>
    <xf numFmtId="167" fontId="16" fillId="0" borderId="16" xfId="0" quotePrefix="1" applyNumberFormat="1" applyFont="1" applyFill="1" applyBorder="1"/>
    <xf numFmtId="0" fontId="23" fillId="0" borderId="17" xfId="0" applyFont="1" applyFill="1" applyBorder="1"/>
    <xf numFmtId="167" fontId="16" fillId="0" borderId="7" xfId="0" quotePrefix="1" applyNumberFormat="1" applyFont="1" applyFill="1" applyBorder="1"/>
    <xf numFmtId="0" fontId="23" fillId="0" borderId="0" xfId="0" applyFont="1" applyFill="1"/>
    <xf numFmtId="0" fontId="27" fillId="0" borderId="0" xfId="0" applyFont="1" applyFill="1"/>
    <xf numFmtId="0" fontId="27" fillId="0" borderId="17" xfId="0" applyFont="1" applyFill="1" applyBorder="1"/>
    <xf numFmtId="0" fontId="16" fillId="0" borderId="11" xfId="0" applyFont="1" applyFill="1" applyBorder="1"/>
    <xf numFmtId="164" fontId="2" fillId="0" borderId="0" xfId="0" applyNumberFormat="1" applyFont="1" applyFill="1"/>
    <xf numFmtId="0" fontId="16" fillId="0" borderId="28" xfId="0" applyFont="1" applyFill="1" applyBorder="1"/>
    <xf numFmtId="0" fontId="27" fillId="0" borderId="29" xfId="0" applyFont="1" applyFill="1" applyBorder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164" fontId="4" fillId="0" borderId="0" xfId="0" applyNumberFormat="1" applyFont="1" applyFill="1"/>
    <xf numFmtId="0" fontId="24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28" fillId="0" borderId="0" xfId="0" applyFont="1" applyFill="1" applyAlignment="1">
      <alignment horizontal="center"/>
    </xf>
    <xf numFmtId="164" fontId="9" fillId="0" borderId="1" xfId="0" applyNumberFormat="1" applyFont="1" applyFill="1" applyBorder="1"/>
    <xf numFmtId="0" fontId="10" fillId="0" borderId="0" xfId="0" applyFont="1" applyFill="1"/>
    <xf numFmtId="0" fontId="29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30" fillId="0" borderId="0" xfId="0" applyFont="1" applyFill="1"/>
    <xf numFmtId="0" fontId="29" fillId="0" borderId="0" xfId="0" applyFont="1" applyFill="1" applyAlignment="1">
      <alignment horizontal="center"/>
    </xf>
    <xf numFmtId="0" fontId="16" fillId="0" borderId="2" xfId="0" applyFont="1" applyFill="1" applyBorder="1"/>
    <xf numFmtId="6" fontId="17" fillId="0" borderId="3" xfId="0" applyNumberFormat="1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31" fillId="0" borderId="0" xfId="0" applyFont="1" applyFill="1"/>
    <xf numFmtId="0" fontId="19" fillId="0" borderId="0" xfId="0" applyFont="1" applyFill="1" applyAlignment="1">
      <alignment horizontal="left"/>
    </xf>
    <xf numFmtId="0" fontId="16" fillId="0" borderId="7" xfId="0" applyFont="1" applyFill="1" applyBorder="1"/>
    <xf numFmtId="0" fontId="17" fillId="0" borderId="0" xfId="0" applyFont="1" applyFill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20" fillId="0" borderId="0" xfId="0" applyFont="1" applyFill="1"/>
    <xf numFmtId="0" fontId="18" fillId="0" borderId="9" xfId="0" applyFont="1" applyFill="1" applyBorder="1"/>
    <xf numFmtId="0" fontId="18" fillId="0" borderId="10" xfId="0" applyFont="1" applyFill="1" applyBorder="1"/>
    <xf numFmtId="0" fontId="19" fillId="0" borderId="0" xfId="0" applyFont="1" applyFill="1"/>
    <xf numFmtId="164" fontId="4" fillId="0" borderId="13" xfId="0" applyNumberFormat="1" applyFont="1" applyFill="1" applyBorder="1" applyAlignment="1">
      <alignment horizontal="center"/>
    </xf>
    <xf numFmtId="164" fontId="4" fillId="0" borderId="15" xfId="0" applyNumberFormat="1" applyFont="1" applyFill="1" applyBorder="1" applyAlignment="1">
      <alignment horizontal="center"/>
    </xf>
    <xf numFmtId="0" fontId="16" fillId="0" borderId="11" xfId="0" quotePrefix="1" applyFont="1" applyFill="1" applyBorder="1"/>
    <xf numFmtId="0" fontId="16" fillId="0" borderId="25" xfId="0" quotePrefix="1" applyFont="1" applyFill="1" applyBorder="1"/>
    <xf numFmtId="164" fontId="4" fillId="0" borderId="22" xfId="0" applyNumberFormat="1" applyFont="1" applyFill="1" applyBorder="1" applyAlignment="1">
      <alignment horizontal="center"/>
    </xf>
    <xf numFmtId="164" fontId="4" fillId="0" borderId="24" xfId="0" applyNumberFormat="1" applyFont="1" applyFill="1" applyBorder="1" applyAlignment="1">
      <alignment horizontal="center"/>
    </xf>
    <xf numFmtId="164" fontId="4" fillId="0" borderId="26" xfId="0" applyNumberFormat="1" applyFont="1" applyFill="1" applyBorder="1" applyAlignment="1">
      <alignment horizontal="center"/>
    </xf>
    <xf numFmtId="164" fontId="4" fillId="0" borderId="30" xfId="0" applyNumberFormat="1" applyFont="1" applyFill="1" applyBorder="1" applyAlignment="1">
      <alignment horizontal="center"/>
    </xf>
    <xf numFmtId="164" fontId="4" fillId="0" borderId="32" xfId="0" applyNumberFormat="1" applyFont="1" applyFill="1" applyBorder="1" applyAlignment="1">
      <alignment horizontal="center"/>
    </xf>
    <xf numFmtId="164" fontId="4" fillId="0" borderId="33" xfId="0" applyNumberFormat="1" applyFont="1" applyFill="1" applyBorder="1" applyAlignment="1">
      <alignment horizontal="center"/>
    </xf>
    <xf numFmtId="0" fontId="22" fillId="0" borderId="0" xfId="0" applyFont="1" applyFill="1" applyAlignment="1">
      <alignment textRotation="180"/>
    </xf>
    <xf numFmtId="165" fontId="2" fillId="0" borderId="0" xfId="2" applyNumberFormat="1" applyFont="1" applyFill="1"/>
    <xf numFmtId="0" fontId="16" fillId="0" borderId="2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165" fontId="16" fillId="0" borderId="0" xfId="2" applyNumberFormat="1" applyFont="1" applyFill="1"/>
    <xf numFmtId="0" fontId="16" fillId="0" borderId="7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10" xfId="0" applyFont="1" applyFill="1" applyBorder="1"/>
    <xf numFmtId="164" fontId="4" fillId="0" borderId="27" xfId="0" applyNumberFormat="1" applyFont="1" applyFill="1" applyBorder="1" applyAlignment="1">
      <alignment horizontal="center"/>
    </xf>
    <xf numFmtId="167" fontId="16" fillId="0" borderId="11" xfId="0" quotePrefix="1" applyNumberFormat="1" applyFont="1" applyFill="1" applyBorder="1"/>
    <xf numFmtId="0" fontId="16" fillId="0" borderId="16" xfId="0" quotePrefix="1" applyFont="1" applyFill="1" applyBorder="1"/>
    <xf numFmtId="0" fontId="16" fillId="0" borderId="12" xfId="0" quotePrefix="1" applyFont="1" applyFill="1" applyBorder="1"/>
    <xf numFmtId="1" fontId="16" fillId="0" borderId="25" xfId="0" quotePrefix="1" applyNumberFormat="1" applyFont="1" applyFill="1" applyBorder="1"/>
    <xf numFmtId="164" fontId="4" fillId="0" borderId="36" xfId="0" applyNumberFormat="1" applyFont="1" applyFill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/>
    </xf>
    <xf numFmtId="0" fontId="24" fillId="0" borderId="0" xfId="0" applyFont="1" applyFill="1" applyAlignment="1">
      <alignment textRotation="180"/>
    </xf>
    <xf numFmtId="2" fontId="3" fillId="0" borderId="0" xfId="0" applyNumberFormat="1" applyFont="1" applyFill="1" applyAlignment="1">
      <alignment horizontal="center"/>
    </xf>
    <xf numFmtId="0" fontId="0" fillId="0" borderId="35" xfId="0" applyFill="1" applyBorder="1"/>
    <xf numFmtId="164" fontId="4" fillId="0" borderId="18" xfId="0" applyNumberFormat="1" applyFont="1" applyFill="1" applyBorder="1" applyAlignment="1">
      <alignment horizontal="center"/>
    </xf>
    <xf numFmtId="164" fontId="4" fillId="0" borderId="34" xfId="0" applyNumberFormat="1" applyFont="1" applyFill="1" applyBorder="1" applyAlignment="1">
      <alignment horizontal="center"/>
    </xf>
    <xf numFmtId="164" fontId="4" fillId="0" borderId="20" xfId="0" applyNumberFormat="1" applyFont="1" applyFill="1" applyBorder="1" applyAlignment="1">
      <alignment horizontal="center"/>
    </xf>
    <xf numFmtId="0" fontId="16" fillId="0" borderId="11" xfId="0" applyFont="1" applyFill="1" applyBorder="1" applyAlignment="1">
      <alignment horizontal="left"/>
    </xf>
    <xf numFmtId="0" fontId="32" fillId="0" borderId="0" xfId="0" applyFont="1" applyFill="1"/>
    <xf numFmtId="0" fontId="16" fillId="0" borderId="3" xfId="0" applyFont="1" applyFill="1" applyBorder="1" applyAlignment="1">
      <alignment horizontal="center"/>
    </xf>
    <xf numFmtId="0" fontId="16" fillId="0" borderId="21" xfId="0" quotePrefix="1" applyFont="1" applyFill="1" applyBorder="1"/>
    <xf numFmtId="0" fontId="16" fillId="0" borderId="0" xfId="0" quotePrefix="1" applyFont="1" applyFill="1"/>
    <xf numFmtId="165" fontId="2" fillId="0" borderId="24" xfId="2" applyNumberFormat="1" applyFont="1" applyFill="1" applyBorder="1"/>
    <xf numFmtId="0" fontId="24" fillId="0" borderId="0" xfId="0" applyFont="1" applyFill="1" applyAlignment="1">
      <alignment horizontal="left" vertical="top" textRotation="180"/>
    </xf>
    <xf numFmtId="0" fontId="23" fillId="0" borderId="12" xfId="0" applyFont="1" applyFill="1" applyBorder="1"/>
    <xf numFmtId="0" fontId="16" fillId="0" borderId="16" xfId="0" applyFont="1" applyFill="1" applyBorder="1" applyAlignment="1">
      <alignment horizontal="left"/>
    </xf>
    <xf numFmtId="0" fontId="25" fillId="0" borderId="0" xfId="0" applyFont="1" applyFill="1" applyAlignment="1">
      <alignment textRotation="180"/>
    </xf>
    <xf numFmtId="44" fontId="0" fillId="0" borderId="0" xfId="2" applyFont="1" applyFill="1"/>
    <xf numFmtId="0" fontId="26" fillId="0" borderId="0" xfId="0" applyFont="1" applyFill="1"/>
    <xf numFmtId="0" fontId="16" fillId="0" borderId="17" xfId="0" quotePrefix="1" applyFont="1" applyFill="1" applyBorder="1"/>
    <xf numFmtId="0" fontId="1" fillId="0" borderId="0" xfId="0" applyFont="1" applyFill="1"/>
    <xf numFmtId="164" fontId="4" fillId="0" borderId="9" xfId="0" applyNumberFormat="1" applyFont="1" applyFill="1" applyBorder="1" applyAlignment="1">
      <alignment horizontal="center"/>
    </xf>
    <xf numFmtId="164" fontId="4" fillId="0" borderId="19" xfId="0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164" fontId="4" fillId="0" borderId="29" xfId="0" applyNumberFormat="1" applyFont="1" applyFill="1" applyBorder="1" applyAlignment="1">
      <alignment horizontal="center"/>
    </xf>
    <xf numFmtId="164" fontId="4" fillId="0" borderId="37" xfId="0" applyNumberFormat="1" applyFont="1" applyFill="1" applyBorder="1" applyAlignment="1">
      <alignment horizontal="center"/>
    </xf>
    <xf numFmtId="164" fontId="4" fillId="0" borderId="38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7</xdr:row>
      <xdr:rowOff>9525</xdr:rowOff>
    </xdr:from>
    <xdr:to>
      <xdr:col>3</xdr:col>
      <xdr:colOff>200025</xdr:colOff>
      <xdr:row>9</xdr:row>
      <xdr:rowOff>66675</xdr:rowOff>
    </xdr:to>
    <xdr:sp macro="" textlink="">
      <xdr:nvSpPr>
        <xdr:cNvPr id="1358" name="Line 1">
          <a:extLst>
            <a:ext uri="{FF2B5EF4-FFF2-40B4-BE49-F238E27FC236}">
              <a16:creationId xmlns:a16="http://schemas.microsoft.com/office/drawing/2014/main" id="{62261DD7-76DA-D9D0-E34B-993E49FAD94A}"/>
            </a:ext>
          </a:extLst>
        </xdr:cNvPr>
        <xdr:cNvSpPr>
          <a:spLocks noChangeShapeType="1"/>
        </xdr:cNvSpPr>
      </xdr:nvSpPr>
      <xdr:spPr bwMode="auto">
        <a:xfrm>
          <a:off x="5276850" y="1485900"/>
          <a:ext cx="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91"/>
  <sheetViews>
    <sheetView tabSelected="1" zoomScaleNormal="100" workbookViewId="0"/>
  </sheetViews>
  <sheetFormatPr defaultColWidth="9.140625" defaultRowHeight="12.75" x14ac:dyDescent="0.2"/>
  <cols>
    <col min="1" max="1" width="4.85546875" style="39" customWidth="1"/>
    <col min="2" max="2" width="2.85546875" style="39" customWidth="1"/>
    <col min="3" max="3" width="65.28515625" style="39" customWidth="1"/>
    <col min="4" max="4" width="8.5703125" style="39" hidden="1" customWidth="1"/>
    <col min="5" max="5" width="9.7109375" style="39" bestFit="1" customWidth="1"/>
    <col min="6" max="6" width="7.5703125" style="39" customWidth="1"/>
    <col min="7" max="7" width="9" style="39" customWidth="1"/>
    <col min="8" max="8" width="8.5703125" style="39" customWidth="1"/>
    <col min="9" max="9" width="9.140625" style="39" customWidth="1"/>
    <col min="10" max="10" width="9" style="39" customWidth="1"/>
    <col min="11" max="11" width="7.7109375" style="39" customWidth="1"/>
    <col min="12" max="12" width="9.140625" style="39"/>
    <col min="13" max="13" width="9.85546875" style="39" bestFit="1" customWidth="1"/>
    <col min="14" max="14" width="10.7109375" style="39" bestFit="1" customWidth="1"/>
    <col min="15" max="15" width="8.7109375" style="39" customWidth="1"/>
    <col min="16" max="26" width="9.140625" style="39"/>
    <col min="27" max="28" width="7.140625" style="39" customWidth="1"/>
    <col min="29" max="29" width="8.5703125" style="39" customWidth="1"/>
    <col min="30" max="30" width="5.42578125" style="39" customWidth="1"/>
    <col min="31" max="31" width="8.140625" style="39" customWidth="1"/>
    <col min="32" max="32" width="5.5703125" style="39" customWidth="1"/>
    <col min="33" max="33" width="6.5703125" style="39" customWidth="1"/>
    <col min="34" max="34" width="7" style="39" customWidth="1"/>
    <col min="35" max="35" width="13.140625" style="39" customWidth="1"/>
    <col min="36" max="36" width="7.42578125" style="39" customWidth="1"/>
    <col min="37" max="37" width="9.140625" style="39"/>
    <col min="38" max="40" width="7.42578125" style="39" customWidth="1"/>
    <col min="41" max="41" width="9.140625" style="39"/>
    <col min="42" max="42" width="7.42578125" style="39" customWidth="1"/>
    <col min="43" max="16384" width="9.140625" style="39"/>
  </cols>
  <sheetData>
    <row r="1" spans="1:40" ht="15.75" x14ac:dyDescent="0.25">
      <c r="A1" s="35" t="s">
        <v>0</v>
      </c>
      <c r="B1" s="35" t="s">
        <v>0</v>
      </c>
      <c r="C1" s="36" t="s">
        <v>363</v>
      </c>
      <c r="D1" s="35"/>
      <c r="E1" s="35"/>
      <c r="F1" s="37" t="s">
        <v>1</v>
      </c>
      <c r="G1" s="37"/>
      <c r="H1" s="37"/>
      <c r="I1" s="37"/>
      <c r="J1" s="38"/>
      <c r="K1" s="37" t="s">
        <v>2</v>
      </c>
      <c r="L1" s="37"/>
      <c r="M1" s="37"/>
      <c r="N1" s="37"/>
      <c r="O1" s="38"/>
      <c r="AI1" s="35"/>
      <c r="AJ1" s="35"/>
      <c r="AK1" s="35"/>
      <c r="AL1" s="35"/>
      <c r="AM1" s="35"/>
      <c r="AN1" s="35"/>
    </row>
    <row r="2" spans="1:40" ht="15" x14ac:dyDescent="0.25">
      <c r="A2" s="35"/>
      <c r="B2" s="35"/>
      <c r="C2" s="40" t="s">
        <v>0</v>
      </c>
      <c r="D2" s="35"/>
      <c r="E2" s="35"/>
      <c r="F2" s="37" t="s">
        <v>3</v>
      </c>
      <c r="G2" s="37"/>
      <c r="H2" s="37"/>
      <c r="I2" s="37"/>
      <c r="J2" s="38"/>
      <c r="K2" s="37" t="s">
        <v>4</v>
      </c>
      <c r="L2" s="37"/>
      <c r="M2" s="37"/>
      <c r="N2" s="37"/>
      <c r="O2" s="38"/>
      <c r="AI2" s="35"/>
      <c r="AJ2" s="35"/>
      <c r="AK2" s="35"/>
      <c r="AL2" s="35"/>
      <c r="AM2" s="35"/>
      <c r="AN2" s="35"/>
    </row>
    <row r="3" spans="1:40" ht="15.75" x14ac:dyDescent="0.25">
      <c r="A3" s="35"/>
      <c r="B3" s="35"/>
      <c r="C3" s="36" t="s">
        <v>5</v>
      </c>
      <c r="D3" s="35"/>
      <c r="E3" s="35"/>
      <c r="F3" s="37" t="s">
        <v>6</v>
      </c>
      <c r="G3" s="37"/>
      <c r="H3" s="38"/>
      <c r="I3" s="41">
        <v>1.6443000000000001</v>
      </c>
      <c r="K3" s="37" t="s">
        <v>7</v>
      </c>
      <c r="L3" s="37"/>
      <c r="M3" s="37"/>
      <c r="N3" s="38"/>
      <c r="O3" s="41">
        <v>7.6700000000000004E-2</v>
      </c>
      <c r="Q3" s="39" t="s">
        <v>0</v>
      </c>
      <c r="AI3" s="35"/>
      <c r="AJ3" s="35"/>
      <c r="AK3" s="35"/>
      <c r="AL3" s="35"/>
      <c r="AM3" s="35"/>
      <c r="AN3" s="35"/>
    </row>
    <row r="4" spans="1:40" ht="15.75" x14ac:dyDescent="0.25">
      <c r="A4" s="35"/>
      <c r="B4" s="35"/>
      <c r="C4" s="36"/>
      <c r="D4" s="35"/>
      <c r="E4" s="35"/>
      <c r="F4" s="37" t="s">
        <v>213</v>
      </c>
      <c r="G4" s="37"/>
      <c r="H4" s="38"/>
      <c r="I4" s="41">
        <v>0</v>
      </c>
      <c r="K4" s="37"/>
      <c r="L4" s="37"/>
      <c r="M4" s="37"/>
      <c r="N4" s="38"/>
      <c r="O4" s="41"/>
      <c r="AI4" s="35"/>
      <c r="AJ4" s="35"/>
      <c r="AK4" s="35"/>
      <c r="AL4" s="35"/>
      <c r="AM4" s="35"/>
      <c r="AN4" s="35"/>
    </row>
    <row r="5" spans="1:40" ht="18" x14ac:dyDescent="0.25">
      <c r="A5" s="35"/>
      <c r="B5" s="35"/>
      <c r="C5" s="42"/>
      <c r="D5" s="35"/>
      <c r="E5" s="35"/>
      <c r="F5" s="37" t="s">
        <v>8</v>
      </c>
      <c r="G5" s="43"/>
      <c r="I5" s="41">
        <v>1.4462999999999999</v>
      </c>
      <c r="K5" s="37" t="s">
        <v>9</v>
      </c>
      <c r="L5" s="43"/>
      <c r="M5" s="43"/>
      <c r="N5" s="38"/>
      <c r="O5" s="41">
        <v>0.15989999999999999</v>
      </c>
      <c r="AI5" s="32"/>
      <c r="AJ5" s="35"/>
      <c r="AK5" s="35"/>
      <c r="AL5" s="35"/>
      <c r="AM5" s="35"/>
      <c r="AN5" s="32"/>
    </row>
    <row r="6" spans="1:40" ht="18" x14ac:dyDescent="0.25">
      <c r="A6" s="44"/>
      <c r="B6" s="45"/>
      <c r="C6" s="46" t="s">
        <v>0</v>
      </c>
      <c r="D6" s="35"/>
      <c r="E6" s="35"/>
      <c r="F6" s="43"/>
      <c r="G6" s="43"/>
      <c r="H6" s="38"/>
      <c r="I6" s="47">
        <f>SUM(I3:I5)</f>
        <v>3.0906000000000002</v>
      </c>
      <c r="K6" s="37" t="s">
        <v>10</v>
      </c>
      <c r="L6" s="43"/>
      <c r="M6" s="43"/>
      <c r="N6" s="38"/>
      <c r="O6" s="41">
        <v>0.1346</v>
      </c>
      <c r="AI6" s="32"/>
      <c r="AJ6" s="35"/>
      <c r="AK6" s="35"/>
      <c r="AN6" s="32"/>
    </row>
    <row r="7" spans="1:40" ht="18" x14ac:dyDescent="0.25">
      <c r="A7" s="44"/>
      <c r="B7" s="45"/>
      <c r="C7" s="46"/>
      <c r="D7" s="48" t="s">
        <v>11</v>
      </c>
      <c r="E7" s="35"/>
      <c r="J7" s="38"/>
      <c r="K7" s="37" t="s">
        <v>8</v>
      </c>
      <c r="L7" s="37"/>
      <c r="M7" s="37"/>
      <c r="N7" s="38"/>
      <c r="O7" s="41">
        <v>0</v>
      </c>
      <c r="AI7" s="32"/>
      <c r="AJ7" s="35"/>
      <c r="AK7" s="35"/>
      <c r="AN7" s="32"/>
    </row>
    <row r="8" spans="1:40" ht="15.75" x14ac:dyDescent="0.25">
      <c r="A8" s="44"/>
      <c r="B8" s="45"/>
      <c r="C8" s="49"/>
      <c r="D8" s="35"/>
      <c r="E8" s="35"/>
      <c r="F8" s="43"/>
      <c r="G8" s="43" t="s">
        <v>0</v>
      </c>
      <c r="H8" s="50" t="s">
        <v>0</v>
      </c>
      <c r="I8" s="51" t="s">
        <v>0</v>
      </c>
      <c r="J8" s="38"/>
      <c r="K8" s="43"/>
      <c r="L8" s="43"/>
      <c r="M8" s="43"/>
      <c r="N8" s="38"/>
      <c r="O8" s="47">
        <f>SUM(O3:O7)</f>
        <v>0.37119999999999997</v>
      </c>
      <c r="AI8" s="32"/>
      <c r="AJ8" s="35"/>
      <c r="AK8" s="35"/>
      <c r="AL8" s="35"/>
      <c r="AM8" s="35"/>
      <c r="AN8" s="32"/>
    </row>
    <row r="9" spans="1:40" ht="15.75" x14ac:dyDescent="0.25">
      <c r="A9" s="44"/>
      <c r="B9" s="45"/>
      <c r="C9" s="49"/>
      <c r="D9" s="35"/>
      <c r="E9" s="35"/>
      <c r="F9" s="43"/>
      <c r="G9" s="43"/>
      <c r="H9" s="50"/>
      <c r="I9" s="52" t="s">
        <v>0</v>
      </c>
      <c r="J9" s="45"/>
      <c r="K9" s="45"/>
      <c r="N9" s="53" t="s">
        <v>0</v>
      </c>
      <c r="AI9" s="32"/>
      <c r="AJ9" s="35"/>
      <c r="AK9" s="35"/>
      <c r="AL9" s="35"/>
      <c r="AM9" s="35"/>
      <c r="AN9" s="32"/>
    </row>
    <row r="10" spans="1:40" ht="16.5" thickBot="1" x14ac:dyDescent="0.3">
      <c r="A10" s="35"/>
      <c r="B10" s="35"/>
      <c r="C10" s="35"/>
      <c r="D10" s="35"/>
      <c r="E10" s="124" t="s">
        <v>12</v>
      </c>
      <c r="F10" s="125"/>
      <c r="G10" s="125"/>
      <c r="H10" s="125"/>
      <c r="I10" s="54" t="s">
        <v>0</v>
      </c>
      <c r="J10" s="126" t="s">
        <v>13</v>
      </c>
      <c r="K10" s="126"/>
      <c r="L10" s="126"/>
      <c r="M10" s="126"/>
      <c r="N10" s="126"/>
      <c r="O10" s="126"/>
      <c r="AI10" s="39" t="s">
        <v>0</v>
      </c>
      <c r="AJ10" s="35"/>
    </row>
    <row r="11" spans="1:40" x14ac:dyDescent="0.2">
      <c r="A11" s="55" t="s">
        <v>14</v>
      </c>
      <c r="B11" s="11"/>
      <c r="C11" s="11" t="s">
        <v>15</v>
      </c>
      <c r="D11" s="56">
        <v>200000</v>
      </c>
      <c r="E11" s="57" t="s">
        <v>16</v>
      </c>
      <c r="F11" s="58" t="s">
        <v>17</v>
      </c>
      <c r="G11" s="58" t="s">
        <v>18</v>
      </c>
      <c r="H11" s="59" t="s">
        <v>19</v>
      </c>
      <c r="I11" s="60" t="s">
        <v>20</v>
      </c>
      <c r="J11" s="57" t="s">
        <v>16</v>
      </c>
      <c r="K11" s="58" t="s">
        <v>21</v>
      </c>
      <c r="L11" s="58" t="s">
        <v>18</v>
      </c>
      <c r="M11" s="58" t="s">
        <v>22</v>
      </c>
      <c r="N11" s="58" t="s">
        <v>23</v>
      </c>
      <c r="O11" s="59" t="s">
        <v>24</v>
      </c>
      <c r="P11" s="61"/>
      <c r="AI11" s="35"/>
      <c r="AJ11" s="35"/>
      <c r="AK11" s="35"/>
      <c r="AL11" s="35"/>
      <c r="AM11" s="35"/>
      <c r="AN11" s="35"/>
    </row>
    <row r="12" spans="1:40" x14ac:dyDescent="0.2">
      <c r="A12" s="62" t="s">
        <v>25</v>
      </c>
      <c r="B12" s="8"/>
      <c r="C12" s="8" t="s">
        <v>26</v>
      </c>
      <c r="D12" s="63" t="s">
        <v>27</v>
      </c>
      <c r="E12" s="64" t="s">
        <v>28</v>
      </c>
      <c r="F12" s="65" t="s">
        <v>29</v>
      </c>
      <c r="G12" s="65" t="s">
        <v>25</v>
      </c>
      <c r="H12" s="66" t="s">
        <v>30</v>
      </c>
      <c r="I12" s="60" t="s">
        <v>31</v>
      </c>
      <c r="J12" s="67" t="s">
        <v>28</v>
      </c>
      <c r="K12" s="65" t="s">
        <v>32</v>
      </c>
      <c r="L12" s="65" t="s">
        <v>25</v>
      </c>
      <c r="M12" s="65" t="s">
        <v>33</v>
      </c>
      <c r="N12" s="65" t="s">
        <v>33</v>
      </c>
      <c r="O12" s="66" t="s">
        <v>30</v>
      </c>
      <c r="P12" s="61"/>
      <c r="AI12" s="35"/>
      <c r="AJ12" s="35"/>
      <c r="AK12" s="35"/>
      <c r="AL12" s="35"/>
      <c r="AM12" s="35"/>
      <c r="AN12" s="35"/>
    </row>
    <row r="13" spans="1:40" x14ac:dyDescent="0.2">
      <c r="A13" s="62" t="s">
        <v>34</v>
      </c>
      <c r="B13" s="8"/>
      <c r="C13" s="8"/>
      <c r="D13" s="68" t="s">
        <v>0</v>
      </c>
      <c r="E13" s="67" t="s">
        <v>35</v>
      </c>
      <c r="F13" s="69"/>
      <c r="G13" s="69"/>
      <c r="H13" s="70"/>
      <c r="I13" s="35"/>
      <c r="J13" s="67" t="s">
        <v>35</v>
      </c>
      <c r="K13" s="65"/>
      <c r="L13" s="65"/>
      <c r="M13" s="65"/>
      <c r="N13" s="65"/>
      <c r="O13" s="66"/>
      <c r="P13" s="61"/>
      <c r="AI13" s="35"/>
      <c r="AJ13" s="35"/>
      <c r="AK13" s="35"/>
      <c r="AL13" s="35"/>
      <c r="AM13" s="35"/>
      <c r="AN13" s="35"/>
    </row>
    <row r="14" spans="1:40" ht="15" x14ac:dyDescent="0.25">
      <c r="A14" s="31" t="s">
        <v>36</v>
      </c>
      <c r="B14" s="2"/>
      <c r="C14" s="2" t="s">
        <v>264</v>
      </c>
      <c r="D14" s="3">
        <f>(H14+O14-I14)*200</f>
        <v>1585.5600000000002</v>
      </c>
      <c r="E14" s="72">
        <f>I$6</f>
        <v>3.0906000000000002</v>
      </c>
      <c r="F14" s="4">
        <v>0</v>
      </c>
      <c r="G14" s="4">
        <v>2.2437999999999998</v>
      </c>
      <c r="H14" s="73">
        <f>SUM(E14+F14+G14)</f>
        <v>5.3344000000000005</v>
      </c>
      <c r="I14" s="120">
        <v>1.1218999999999999</v>
      </c>
      <c r="J14" s="72">
        <f>O$8</f>
        <v>0.37119999999999997</v>
      </c>
      <c r="K14" s="4">
        <v>0</v>
      </c>
      <c r="L14" s="4">
        <f>0.0652+0.05</f>
        <v>0.1152</v>
      </c>
      <c r="M14" s="4">
        <v>3.2288999999999999</v>
      </c>
      <c r="N14" s="4">
        <v>0</v>
      </c>
      <c r="O14" s="73">
        <f>SUM(J14:N14)</f>
        <v>3.7153</v>
      </c>
      <c r="P14" s="71"/>
      <c r="AI14" s="35"/>
      <c r="AJ14" s="35"/>
      <c r="AK14" s="35"/>
      <c r="AL14" s="35"/>
      <c r="AM14" s="35"/>
      <c r="AN14" s="35"/>
    </row>
    <row r="15" spans="1:40" ht="15" x14ac:dyDescent="0.25">
      <c r="A15" s="31" t="s">
        <v>37</v>
      </c>
      <c r="B15" s="2"/>
      <c r="C15" s="2" t="s">
        <v>265</v>
      </c>
      <c r="D15" s="3">
        <f t="shared" ref="D15:D19" si="0">(H15+O15-I15)*200</f>
        <v>1548.2600000000002</v>
      </c>
      <c r="E15" s="72">
        <f>I$6</f>
        <v>3.0906000000000002</v>
      </c>
      <c r="F15" s="4">
        <v>0</v>
      </c>
      <c r="G15" s="4">
        <v>2.2437999999999998</v>
      </c>
      <c r="H15" s="73">
        <f>SUM(E15+F15+G15)</f>
        <v>5.3344000000000005</v>
      </c>
      <c r="I15" s="120">
        <v>1.1218999999999999</v>
      </c>
      <c r="J15" s="72">
        <f t="shared" ref="J15:J42" si="1">O$8</f>
        <v>0.37119999999999997</v>
      </c>
      <c r="K15" s="4">
        <v>0</v>
      </c>
      <c r="L15" s="4">
        <f t="shared" ref="L15:L17" si="2">0.0652+0.05</f>
        <v>0.1152</v>
      </c>
      <c r="M15" s="4">
        <f>3+0.0424</f>
        <v>3.0424000000000002</v>
      </c>
      <c r="N15" s="4">
        <v>0</v>
      </c>
      <c r="O15" s="73">
        <f>SUM(J15:N15)</f>
        <v>3.5288000000000004</v>
      </c>
      <c r="P15" s="71"/>
      <c r="AI15" s="35"/>
      <c r="AJ15" s="35"/>
      <c r="AK15" s="35"/>
    </row>
    <row r="16" spans="1:40" ht="15" x14ac:dyDescent="0.25">
      <c r="A16" s="74" t="s">
        <v>212</v>
      </c>
      <c r="B16" s="2"/>
      <c r="C16" s="2" t="s">
        <v>266</v>
      </c>
      <c r="D16" s="3">
        <f>(H16+O16-I16)*200</f>
        <v>1548.2600000000002</v>
      </c>
      <c r="E16" s="72">
        <f>I$6</f>
        <v>3.0906000000000002</v>
      </c>
      <c r="F16" s="4">
        <v>0</v>
      </c>
      <c r="G16" s="4">
        <v>2.2437999999999998</v>
      </c>
      <c r="H16" s="73">
        <f>SUM(E16+F16+G16)</f>
        <v>5.3344000000000005</v>
      </c>
      <c r="I16" s="120">
        <v>1.1218999999999999</v>
      </c>
      <c r="J16" s="72">
        <f>O$8</f>
        <v>0.37119999999999997</v>
      </c>
      <c r="K16" s="4">
        <v>0</v>
      </c>
      <c r="L16" s="4">
        <f t="shared" si="2"/>
        <v>0.1152</v>
      </c>
      <c r="M16" s="4">
        <f>3+0.0424</f>
        <v>3.0424000000000002</v>
      </c>
      <c r="N16" s="4">
        <v>0</v>
      </c>
      <c r="O16" s="73">
        <f>SUM(J16:N16)</f>
        <v>3.5288000000000004</v>
      </c>
      <c r="P16" s="71"/>
      <c r="AI16" s="35"/>
      <c r="AJ16" s="35"/>
      <c r="AK16" s="35"/>
    </row>
    <row r="17" spans="1:37" ht="15" x14ac:dyDescent="0.25">
      <c r="A17" s="74" t="s">
        <v>38</v>
      </c>
      <c r="B17" s="2"/>
      <c r="C17" s="2" t="s">
        <v>267</v>
      </c>
      <c r="D17" s="3">
        <f t="shared" si="0"/>
        <v>986.35999999999979</v>
      </c>
      <c r="E17" s="72">
        <f>I$6</f>
        <v>3.0906000000000002</v>
      </c>
      <c r="F17" s="4">
        <v>0.2329</v>
      </c>
      <c r="G17" s="4">
        <v>2.2437999999999998</v>
      </c>
      <c r="H17" s="73">
        <f>SUM(E17+F17+G17)</f>
        <v>5.5672999999999995</v>
      </c>
      <c r="I17" s="120">
        <v>1.1218999999999999</v>
      </c>
      <c r="J17" s="72">
        <f>O$8</f>
        <v>0.37119999999999997</v>
      </c>
      <c r="K17" s="4">
        <v>0</v>
      </c>
      <c r="L17" s="4">
        <f t="shared" si="2"/>
        <v>0.1152</v>
      </c>
      <c r="M17" s="4">
        <v>0</v>
      </c>
      <c r="N17" s="4">
        <v>0</v>
      </c>
      <c r="O17" s="73">
        <f>SUM(J17:N17)</f>
        <v>0.48639999999999994</v>
      </c>
      <c r="AI17" s="32"/>
      <c r="AJ17" s="32"/>
      <c r="AK17" s="32"/>
    </row>
    <row r="18" spans="1:37" ht="15" x14ac:dyDescent="0.25">
      <c r="A18" s="74" t="s">
        <v>39</v>
      </c>
      <c r="B18" s="2"/>
      <c r="C18" s="2" t="s">
        <v>214</v>
      </c>
      <c r="D18" s="3"/>
      <c r="E18" s="72"/>
      <c r="F18" s="4"/>
      <c r="G18" s="4"/>
      <c r="H18" s="73"/>
      <c r="I18" s="122"/>
      <c r="J18" s="72"/>
      <c r="K18" s="4"/>
      <c r="L18" s="4"/>
      <c r="M18" s="4"/>
      <c r="N18" s="4"/>
      <c r="O18" s="73"/>
      <c r="AI18" s="32"/>
      <c r="AJ18" s="32"/>
      <c r="AK18" s="32"/>
    </row>
    <row r="19" spans="1:37" ht="15" x14ac:dyDescent="0.25">
      <c r="A19" s="74"/>
      <c r="B19" s="2"/>
      <c r="C19" s="2" t="s">
        <v>268</v>
      </c>
      <c r="D19" s="3">
        <f t="shared" si="0"/>
        <v>986.35999999999979</v>
      </c>
      <c r="E19" s="72">
        <f>I$6</f>
        <v>3.0906000000000002</v>
      </c>
      <c r="F19" s="4">
        <v>0.2329</v>
      </c>
      <c r="G19" s="4">
        <v>2.2437999999999998</v>
      </c>
      <c r="H19" s="73">
        <f>SUM(E19+F19+G19)</f>
        <v>5.5672999999999995</v>
      </c>
      <c r="I19" s="120">
        <v>1.1218999999999999</v>
      </c>
      <c r="J19" s="72">
        <f t="shared" si="1"/>
        <v>0.37119999999999997</v>
      </c>
      <c r="K19" s="4">
        <v>0</v>
      </c>
      <c r="L19" s="4">
        <f>0.0652+0.05</f>
        <v>0.1152</v>
      </c>
      <c r="M19" s="4">
        <v>0</v>
      </c>
      <c r="N19" s="4">
        <v>0</v>
      </c>
      <c r="O19" s="73">
        <f>SUM(J19:N19)</f>
        <v>0.48639999999999994</v>
      </c>
      <c r="AI19" s="32"/>
      <c r="AJ19" s="32"/>
      <c r="AK19" s="32"/>
    </row>
    <row r="20" spans="1:37" ht="15" x14ac:dyDescent="0.25">
      <c r="A20" s="74" t="s">
        <v>40</v>
      </c>
      <c r="B20" s="2"/>
      <c r="C20" s="2" t="s">
        <v>41</v>
      </c>
      <c r="D20" s="3"/>
      <c r="E20" s="72" t="s">
        <v>0</v>
      </c>
      <c r="F20" s="4"/>
      <c r="G20" s="4" t="s">
        <v>0</v>
      </c>
      <c r="H20" s="73"/>
      <c r="I20" s="122" t="s">
        <v>0</v>
      </c>
      <c r="J20" s="72" t="s">
        <v>0</v>
      </c>
      <c r="K20" s="4" t="s">
        <v>0</v>
      </c>
      <c r="L20" s="4" t="s">
        <v>0</v>
      </c>
      <c r="M20" s="4"/>
      <c r="N20" s="4"/>
      <c r="O20" s="73"/>
      <c r="AI20" s="32"/>
      <c r="AJ20" s="32"/>
      <c r="AK20" s="32"/>
    </row>
    <row r="21" spans="1:37" ht="15" x14ac:dyDescent="0.25">
      <c r="A21" s="74"/>
      <c r="B21" s="2"/>
      <c r="C21" s="2" t="s">
        <v>269</v>
      </c>
      <c r="D21" s="3">
        <f t="shared" ref="D21:D34" si="3">(H21+O21-I21)*200</f>
        <v>986.35999999999979</v>
      </c>
      <c r="E21" s="72">
        <f>I$6</f>
        <v>3.0906000000000002</v>
      </c>
      <c r="F21" s="4">
        <v>0.2329</v>
      </c>
      <c r="G21" s="4">
        <v>2.2437999999999998</v>
      </c>
      <c r="H21" s="73">
        <f t="shared" ref="H21:H27" si="4">SUM(E21+F21+G21)</f>
        <v>5.5672999999999995</v>
      </c>
      <c r="I21" s="120">
        <v>1.1218999999999999</v>
      </c>
      <c r="J21" s="72">
        <f t="shared" si="1"/>
        <v>0.37119999999999997</v>
      </c>
      <c r="K21" s="4">
        <v>0</v>
      </c>
      <c r="L21" s="4">
        <f>0.0652+0.05</f>
        <v>0.1152</v>
      </c>
      <c r="M21" s="4">
        <v>0</v>
      </c>
      <c r="N21" s="4">
        <v>0</v>
      </c>
      <c r="O21" s="73">
        <f t="shared" ref="O21:O27" si="5">SUM(J21:N21)</f>
        <v>0.48639999999999994</v>
      </c>
      <c r="AI21" s="32"/>
      <c r="AJ21" s="32"/>
      <c r="AK21" s="32"/>
    </row>
    <row r="22" spans="1:37" ht="15" x14ac:dyDescent="0.25">
      <c r="A22" s="74" t="s">
        <v>42</v>
      </c>
      <c r="B22" s="2"/>
      <c r="C22" s="2" t="s">
        <v>254</v>
      </c>
      <c r="D22" s="3"/>
      <c r="E22" s="72"/>
      <c r="F22" s="4"/>
      <c r="G22" s="4"/>
      <c r="H22" s="73"/>
      <c r="I22" s="122"/>
      <c r="J22" s="72"/>
      <c r="K22" s="4"/>
      <c r="L22" s="4"/>
      <c r="M22" s="4"/>
      <c r="N22" s="4"/>
      <c r="O22" s="73"/>
      <c r="AI22" s="32"/>
      <c r="AJ22" s="32"/>
      <c r="AK22" s="32"/>
    </row>
    <row r="23" spans="1:37" ht="15" x14ac:dyDescent="0.25">
      <c r="A23" s="75"/>
      <c r="B23" s="16"/>
      <c r="C23" s="16" t="s">
        <v>268</v>
      </c>
      <c r="D23" s="17">
        <f t="shared" si="3"/>
        <v>986.35999999999979</v>
      </c>
      <c r="E23" s="76">
        <f>I$6</f>
        <v>3.0906000000000002</v>
      </c>
      <c r="F23" s="4">
        <v>0.2329</v>
      </c>
      <c r="G23" s="4">
        <v>2.2437999999999998</v>
      </c>
      <c r="H23" s="77">
        <f>SUM(E23+F23+G23)</f>
        <v>5.5672999999999995</v>
      </c>
      <c r="I23" s="120">
        <v>1.1218999999999999</v>
      </c>
      <c r="J23" s="76">
        <f>O$8</f>
        <v>0.37119999999999997</v>
      </c>
      <c r="K23" s="18">
        <v>0</v>
      </c>
      <c r="L23" s="4">
        <f>0.0652+0.05</f>
        <v>0.1152</v>
      </c>
      <c r="M23" s="18">
        <v>0</v>
      </c>
      <c r="N23" s="18">
        <v>0</v>
      </c>
      <c r="O23" s="77">
        <f>SUM(J23:N23)</f>
        <v>0.48639999999999994</v>
      </c>
      <c r="AI23" s="32"/>
      <c r="AJ23" s="32"/>
      <c r="AK23" s="32"/>
    </row>
    <row r="24" spans="1:37" ht="15" x14ac:dyDescent="0.25">
      <c r="A24" s="74" t="s">
        <v>43</v>
      </c>
      <c r="B24" s="2"/>
      <c r="C24" s="2" t="s">
        <v>215</v>
      </c>
      <c r="D24" s="3"/>
      <c r="E24" s="72"/>
      <c r="F24" s="4"/>
      <c r="G24" s="4"/>
      <c r="H24" s="73"/>
      <c r="I24" s="122"/>
      <c r="J24" s="72"/>
      <c r="K24" s="4"/>
      <c r="L24" s="4"/>
      <c r="M24" s="4"/>
      <c r="N24" s="4"/>
      <c r="O24" s="73"/>
      <c r="AI24" s="32"/>
      <c r="AJ24" s="32"/>
      <c r="AK24" s="32"/>
    </row>
    <row r="25" spans="1:37" ht="15" x14ac:dyDescent="0.25">
      <c r="A25" s="74"/>
      <c r="B25" s="2"/>
      <c r="C25" s="2" t="s">
        <v>268</v>
      </c>
      <c r="D25" s="3">
        <f t="shared" si="3"/>
        <v>1098.08</v>
      </c>
      <c r="E25" s="72">
        <f t="shared" ref="E25:E31" si="6">I$6</f>
        <v>3.0906000000000002</v>
      </c>
      <c r="F25" s="4">
        <v>0.2329</v>
      </c>
      <c r="G25" s="4">
        <v>2.2437999999999998</v>
      </c>
      <c r="H25" s="73">
        <f>SUM(E25+F25+G25)</f>
        <v>5.5672999999999995</v>
      </c>
      <c r="I25" s="120">
        <v>1.1218999999999999</v>
      </c>
      <c r="J25" s="72">
        <f>O$8</f>
        <v>0.37119999999999997</v>
      </c>
      <c r="K25" s="4">
        <v>0</v>
      </c>
      <c r="L25" s="4">
        <f t="shared" ref="L25:L31" si="7">0.0652+0.05</f>
        <v>0.1152</v>
      </c>
      <c r="M25" s="4">
        <v>0</v>
      </c>
      <c r="N25" s="4">
        <v>0.55859999999999999</v>
      </c>
      <c r="O25" s="73">
        <f>SUM(J25:N25)</f>
        <v>1.0449999999999999</v>
      </c>
      <c r="AI25" s="32"/>
      <c r="AJ25" s="32"/>
      <c r="AK25" s="32"/>
    </row>
    <row r="26" spans="1:37" ht="15" x14ac:dyDescent="0.25">
      <c r="A26" s="31" t="s">
        <v>44</v>
      </c>
      <c r="B26" s="2"/>
      <c r="C26" s="2" t="s">
        <v>270</v>
      </c>
      <c r="D26" s="3">
        <f t="shared" si="3"/>
        <v>939.78</v>
      </c>
      <c r="E26" s="72">
        <f t="shared" si="6"/>
        <v>3.0906000000000002</v>
      </c>
      <c r="F26" s="4">
        <v>0</v>
      </c>
      <c r="G26" s="4">
        <v>2.2437999999999998</v>
      </c>
      <c r="H26" s="73">
        <f t="shared" si="4"/>
        <v>5.3344000000000005</v>
      </c>
      <c r="I26" s="120">
        <v>1.1218999999999999</v>
      </c>
      <c r="J26" s="72">
        <f t="shared" si="1"/>
        <v>0.37119999999999997</v>
      </c>
      <c r="K26" s="4">
        <v>0</v>
      </c>
      <c r="L26" s="4">
        <f t="shared" si="7"/>
        <v>0.1152</v>
      </c>
      <c r="M26" s="4">
        <v>0</v>
      </c>
      <c r="N26" s="4">
        <v>0</v>
      </c>
      <c r="O26" s="73">
        <f t="shared" si="5"/>
        <v>0.48639999999999994</v>
      </c>
      <c r="AI26" s="35"/>
      <c r="AJ26" s="35"/>
      <c r="AK26" s="32"/>
    </row>
    <row r="27" spans="1:37" ht="15" x14ac:dyDescent="0.25">
      <c r="A27" s="74" t="s">
        <v>45</v>
      </c>
      <c r="B27" s="2"/>
      <c r="C27" s="2" t="s">
        <v>271</v>
      </c>
      <c r="D27" s="3">
        <f t="shared" si="3"/>
        <v>1647.8799999999999</v>
      </c>
      <c r="E27" s="72">
        <f t="shared" si="6"/>
        <v>3.0906000000000002</v>
      </c>
      <c r="F27" s="4">
        <v>0</v>
      </c>
      <c r="G27" s="4">
        <v>2.2437999999999998</v>
      </c>
      <c r="H27" s="73">
        <f t="shared" si="4"/>
        <v>5.3344000000000005</v>
      </c>
      <c r="I27" s="120">
        <v>1.1218999999999999</v>
      </c>
      <c r="J27" s="72">
        <f t="shared" si="1"/>
        <v>0.37119999999999997</v>
      </c>
      <c r="K27" s="4">
        <v>0</v>
      </c>
      <c r="L27" s="4">
        <f t="shared" si="7"/>
        <v>0.1152</v>
      </c>
      <c r="M27" s="4">
        <f>3.3179+0.2226</f>
        <v>3.5404999999999998</v>
      </c>
      <c r="N27" s="4">
        <v>0</v>
      </c>
      <c r="O27" s="73">
        <f t="shared" si="5"/>
        <v>4.0268999999999995</v>
      </c>
      <c r="AI27" s="32"/>
      <c r="AJ27" s="32"/>
      <c r="AK27" s="32"/>
    </row>
    <row r="28" spans="1:37" ht="15" x14ac:dyDescent="0.25">
      <c r="A28" s="74" t="s">
        <v>46</v>
      </c>
      <c r="B28" s="2"/>
      <c r="C28" s="2" t="s">
        <v>272</v>
      </c>
      <c r="D28" s="3">
        <f t="shared" si="3"/>
        <v>1469.7800000000002</v>
      </c>
      <c r="E28" s="72">
        <f t="shared" si="6"/>
        <v>3.0906000000000002</v>
      </c>
      <c r="F28" s="4">
        <v>0</v>
      </c>
      <c r="G28" s="4">
        <v>2.2437999999999998</v>
      </c>
      <c r="H28" s="73">
        <f>SUM(E28+F28+G28)</f>
        <v>5.3344000000000005</v>
      </c>
      <c r="I28" s="120">
        <v>1.1218999999999999</v>
      </c>
      <c r="J28" s="72">
        <f t="shared" si="1"/>
        <v>0.37119999999999997</v>
      </c>
      <c r="K28" s="4">
        <v>0</v>
      </c>
      <c r="L28" s="4">
        <f t="shared" si="7"/>
        <v>0.1152</v>
      </c>
      <c r="M28" s="4">
        <v>2.65</v>
      </c>
      <c r="N28" s="4">
        <v>0</v>
      </c>
      <c r="O28" s="73">
        <f>SUM(J28:N28)</f>
        <v>3.1364000000000001</v>
      </c>
      <c r="AI28" s="32"/>
      <c r="AJ28" s="32"/>
      <c r="AK28" s="32"/>
    </row>
    <row r="29" spans="1:37" ht="15" x14ac:dyDescent="0.25">
      <c r="A29" s="74" t="s">
        <v>231</v>
      </c>
      <c r="B29" s="2"/>
      <c r="C29" s="2" t="s">
        <v>273</v>
      </c>
      <c r="D29" s="3">
        <f t="shared" si="3"/>
        <v>939.78</v>
      </c>
      <c r="E29" s="72">
        <f t="shared" si="6"/>
        <v>3.0906000000000002</v>
      </c>
      <c r="F29" s="4">
        <v>0</v>
      </c>
      <c r="G29" s="4">
        <v>2.2437999999999998</v>
      </c>
      <c r="H29" s="73">
        <f>SUM(E29+F29+G29)</f>
        <v>5.3344000000000005</v>
      </c>
      <c r="I29" s="120">
        <v>1.1218999999999999</v>
      </c>
      <c r="J29" s="72">
        <f>O$8</f>
        <v>0.37119999999999997</v>
      </c>
      <c r="K29" s="4">
        <v>0</v>
      </c>
      <c r="L29" s="4">
        <f t="shared" si="7"/>
        <v>0.1152</v>
      </c>
      <c r="M29" s="4">
        <v>0</v>
      </c>
      <c r="N29" s="4">
        <v>0</v>
      </c>
      <c r="O29" s="73">
        <f>SUM(J29:N29)</f>
        <v>0.48639999999999994</v>
      </c>
      <c r="AI29" s="32"/>
      <c r="AJ29" s="32"/>
      <c r="AK29" s="32"/>
    </row>
    <row r="30" spans="1:37" ht="15" x14ac:dyDescent="0.25">
      <c r="A30" s="74" t="s">
        <v>351</v>
      </c>
      <c r="B30" s="2"/>
      <c r="C30" s="2" t="s">
        <v>352</v>
      </c>
      <c r="D30" s="3"/>
      <c r="E30" s="72">
        <f>I$6</f>
        <v>3.0906000000000002</v>
      </c>
      <c r="F30" s="4">
        <v>0</v>
      </c>
      <c r="G30" s="4">
        <v>2.2437999999999998</v>
      </c>
      <c r="H30" s="73">
        <f>SUM(E30+F30+G30)</f>
        <v>5.3344000000000005</v>
      </c>
      <c r="I30" s="120">
        <v>1.1218999999999999</v>
      </c>
      <c r="J30" s="72">
        <f>O$8</f>
        <v>0.37119999999999997</v>
      </c>
      <c r="K30" s="4">
        <v>0</v>
      </c>
      <c r="L30" s="4">
        <f t="shared" si="7"/>
        <v>0.1152</v>
      </c>
      <c r="M30" s="4">
        <f>3+0.0424</f>
        <v>3.0424000000000002</v>
      </c>
      <c r="N30" s="4">
        <v>0</v>
      </c>
      <c r="O30" s="73">
        <f>SUM(J30:N30)</f>
        <v>3.5288000000000004</v>
      </c>
      <c r="AI30" s="32"/>
      <c r="AJ30" s="32"/>
      <c r="AK30" s="32"/>
    </row>
    <row r="31" spans="1:37" ht="15" x14ac:dyDescent="0.25">
      <c r="A31" s="31" t="s">
        <v>47</v>
      </c>
      <c r="B31" s="2"/>
      <c r="C31" s="2" t="s">
        <v>274</v>
      </c>
      <c r="D31" s="3">
        <f t="shared" si="3"/>
        <v>1548.2600000000002</v>
      </c>
      <c r="E31" s="72">
        <f t="shared" si="6"/>
        <v>3.0906000000000002</v>
      </c>
      <c r="F31" s="4">
        <v>0</v>
      </c>
      <c r="G31" s="4">
        <v>2.2437999999999998</v>
      </c>
      <c r="H31" s="73">
        <f>SUM(E31+F31+G31)</f>
        <v>5.3344000000000005</v>
      </c>
      <c r="I31" s="120">
        <v>1.1218999999999999</v>
      </c>
      <c r="J31" s="72">
        <f t="shared" si="1"/>
        <v>0.37119999999999997</v>
      </c>
      <c r="K31" s="4">
        <v>0</v>
      </c>
      <c r="L31" s="4">
        <f t="shared" si="7"/>
        <v>0.1152</v>
      </c>
      <c r="M31" s="4">
        <f>3+0.0424</f>
        <v>3.0424000000000002</v>
      </c>
      <c r="N31" s="4">
        <v>0</v>
      </c>
      <c r="O31" s="73">
        <f>SUM(J31:N31)</f>
        <v>3.5288000000000004</v>
      </c>
      <c r="AI31" s="32"/>
      <c r="AJ31" s="32"/>
      <c r="AK31" s="32"/>
    </row>
    <row r="32" spans="1:37" ht="15" x14ac:dyDescent="0.25">
      <c r="A32" s="74" t="s">
        <v>48</v>
      </c>
      <c r="B32" s="2"/>
      <c r="C32" s="2" t="s">
        <v>253</v>
      </c>
      <c r="D32" s="3"/>
      <c r="E32" s="72"/>
      <c r="F32" s="4"/>
      <c r="G32" s="4"/>
      <c r="H32" s="73"/>
      <c r="I32" s="122"/>
      <c r="J32" s="72"/>
      <c r="K32" s="4"/>
      <c r="L32" s="4"/>
      <c r="M32" s="4"/>
      <c r="N32" s="4"/>
      <c r="O32" s="73"/>
      <c r="AI32" s="32"/>
      <c r="AJ32" s="32"/>
      <c r="AK32" s="32"/>
    </row>
    <row r="33" spans="1:37" ht="15" x14ac:dyDescent="0.25">
      <c r="A33" s="22"/>
      <c r="B33" s="16"/>
      <c r="C33" s="16" t="s">
        <v>268</v>
      </c>
      <c r="D33" s="17">
        <f t="shared" si="3"/>
        <v>1659.9800000000002</v>
      </c>
      <c r="E33" s="76">
        <f>I$6</f>
        <v>3.0906000000000002</v>
      </c>
      <c r="F33" s="18">
        <v>0</v>
      </c>
      <c r="G33" s="4">
        <v>2.2437999999999998</v>
      </c>
      <c r="H33" s="77">
        <f>SUM(E33+F33+G33)</f>
        <v>5.3344000000000005</v>
      </c>
      <c r="I33" s="120">
        <v>1.1218999999999999</v>
      </c>
      <c r="J33" s="76">
        <f>O$8</f>
        <v>0.37119999999999997</v>
      </c>
      <c r="K33" s="18">
        <v>0</v>
      </c>
      <c r="L33" s="4">
        <f t="shared" ref="L33:L34" si="8">0.0652+0.05</f>
        <v>0.1152</v>
      </c>
      <c r="M33" s="4">
        <f>3+0.0424</f>
        <v>3.0424000000000002</v>
      </c>
      <c r="N33" s="18">
        <v>0.55859999999999999</v>
      </c>
      <c r="O33" s="77">
        <f>SUM(J33:N33)</f>
        <v>4.0874000000000006</v>
      </c>
      <c r="AI33" s="32"/>
      <c r="AJ33" s="32"/>
      <c r="AK33" s="32"/>
    </row>
    <row r="34" spans="1:37" ht="15" x14ac:dyDescent="0.25">
      <c r="A34" s="31" t="s">
        <v>49</v>
      </c>
      <c r="B34" s="2"/>
      <c r="C34" s="2" t="s">
        <v>275</v>
      </c>
      <c r="D34" s="3">
        <f t="shared" si="3"/>
        <v>1548.2600000000002</v>
      </c>
      <c r="E34" s="72">
        <f>I$6</f>
        <v>3.0906000000000002</v>
      </c>
      <c r="F34" s="4">
        <v>0</v>
      </c>
      <c r="G34" s="4">
        <v>2.2437999999999998</v>
      </c>
      <c r="H34" s="73">
        <f>SUM(E34+F34+G34)</f>
        <v>5.3344000000000005</v>
      </c>
      <c r="I34" s="120">
        <v>1.1218999999999999</v>
      </c>
      <c r="J34" s="72">
        <f t="shared" si="1"/>
        <v>0.37119999999999997</v>
      </c>
      <c r="K34" s="4">
        <v>0</v>
      </c>
      <c r="L34" s="4">
        <f t="shared" si="8"/>
        <v>0.1152</v>
      </c>
      <c r="M34" s="4">
        <f>3+0.0424</f>
        <v>3.0424000000000002</v>
      </c>
      <c r="N34" s="4">
        <v>0</v>
      </c>
      <c r="O34" s="73">
        <f>SUM(J34:N34)</f>
        <v>3.5288000000000004</v>
      </c>
      <c r="AI34" s="35"/>
      <c r="AJ34" s="35"/>
      <c r="AK34" s="32"/>
    </row>
    <row r="35" spans="1:37" ht="15" x14ac:dyDescent="0.25">
      <c r="A35" s="74" t="s">
        <v>50</v>
      </c>
      <c r="B35" s="2"/>
      <c r="C35" s="2" t="s">
        <v>51</v>
      </c>
      <c r="D35" s="3"/>
      <c r="E35" s="72" t="s">
        <v>0</v>
      </c>
      <c r="F35" s="4"/>
      <c r="G35" s="4" t="s">
        <v>0</v>
      </c>
      <c r="H35" s="73"/>
      <c r="I35" s="122" t="s">
        <v>0</v>
      </c>
      <c r="J35" s="72" t="s">
        <v>0</v>
      </c>
      <c r="K35" s="4"/>
      <c r="L35" s="4" t="s">
        <v>0</v>
      </c>
      <c r="M35" s="4" t="s">
        <v>0</v>
      </c>
      <c r="N35" s="4"/>
      <c r="O35" s="73"/>
      <c r="AI35" s="32"/>
      <c r="AJ35" s="32"/>
      <c r="AK35" s="32"/>
    </row>
    <row r="36" spans="1:37" ht="12.75" customHeight="1" x14ac:dyDescent="0.25">
      <c r="A36" s="75"/>
      <c r="B36" s="16"/>
      <c r="C36" s="16" t="s">
        <v>269</v>
      </c>
      <c r="D36" s="17">
        <f t="shared" ref="D36:D42" si="9">(H36+O36-I36)*200</f>
        <v>1548.2600000000002</v>
      </c>
      <c r="E36" s="76">
        <f t="shared" ref="E36:E42" si="10">I$6</f>
        <v>3.0906000000000002</v>
      </c>
      <c r="F36" s="18">
        <v>0</v>
      </c>
      <c r="G36" s="4">
        <v>2.2437999999999998</v>
      </c>
      <c r="H36" s="77">
        <f t="shared" ref="H36:H42" si="11">SUM(E36+F36+G36)</f>
        <v>5.3344000000000005</v>
      </c>
      <c r="I36" s="120">
        <v>1.1218999999999999</v>
      </c>
      <c r="J36" s="76">
        <f t="shared" si="1"/>
        <v>0.37119999999999997</v>
      </c>
      <c r="K36" s="18">
        <v>0</v>
      </c>
      <c r="L36" s="4">
        <f t="shared" ref="L36:L47" si="12">0.0652+0.05</f>
        <v>0.1152</v>
      </c>
      <c r="M36" s="4">
        <f t="shared" ref="M36:M40" si="13">3+0.0424</f>
        <v>3.0424000000000002</v>
      </c>
      <c r="N36" s="18">
        <v>0</v>
      </c>
      <c r="O36" s="77">
        <f t="shared" ref="O36:O42" si="14">SUM(J36:N36)</f>
        <v>3.5288000000000004</v>
      </c>
      <c r="AI36" s="32"/>
      <c r="AJ36" s="32"/>
      <c r="AK36" s="32"/>
    </row>
    <row r="37" spans="1:37" ht="15" x14ac:dyDescent="0.25">
      <c r="A37" s="74" t="s">
        <v>52</v>
      </c>
      <c r="B37" s="2"/>
      <c r="C37" s="2" t="s">
        <v>276</v>
      </c>
      <c r="D37" s="3">
        <f t="shared" si="9"/>
        <v>2007.62</v>
      </c>
      <c r="E37" s="72">
        <f t="shared" si="10"/>
        <v>3.0906000000000002</v>
      </c>
      <c r="F37" s="4">
        <v>0</v>
      </c>
      <c r="G37" s="4">
        <v>2.2437999999999998</v>
      </c>
      <c r="H37" s="73">
        <f t="shared" si="11"/>
        <v>5.3344000000000005</v>
      </c>
      <c r="I37" s="120">
        <v>1.1218999999999999</v>
      </c>
      <c r="J37" s="72">
        <f t="shared" si="1"/>
        <v>0.37119999999999997</v>
      </c>
      <c r="K37" s="4">
        <v>0</v>
      </c>
      <c r="L37" s="4">
        <f t="shared" si="12"/>
        <v>0.1152</v>
      </c>
      <c r="M37" s="4">
        <f t="shared" si="13"/>
        <v>3.0424000000000002</v>
      </c>
      <c r="N37" s="4">
        <v>2.2968000000000002</v>
      </c>
      <c r="O37" s="73">
        <f t="shared" si="14"/>
        <v>5.8256000000000006</v>
      </c>
      <c r="AI37" s="32"/>
      <c r="AJ37" s="32"/>
      <c r="AK37" s="32"/>
    </row>
    <row r="38" spans="1:37" ht="15" x14ac:dyDescent="0.25">
      <c r="A38" s="74" t="s">
        <v>223</v>
      </c>
      <c r="B38" s="2"/>
      <c r="C38" s="2" t="s">
        <v>277</v>
      </c>
      <c r="D38" s="3">
        <f>(H38+O38-I38)*200</f>
        <v>1840.6000000000001</v>
      </c>
      <c r="E38" s="72">
        <f t="shared" si="10"/>
        <v>3.0906000000000002</v>
      </c>
      <c r="F38" s="4">
        <v>0</v>
      </c>
      <c r="G38" s="4">
        <v>2.2437999999999998</v>
      </c>
      <c r="H38" s="73">
        <f>SUM(E38+F38+G38)</f>
        <v>5.3344000000000005</v>
      </c>
      <c r="I38" s="120">
        <v>1.1218999999999999</v>
      </c>
      <c r="J38" s="72">
        <f>O$8</f>
        <v>0.37119999999999997</v>
      </c>
      <c r="K38" s="4">
        <v>0</v>
      </c>
      <c r="L38" s="4">
        <f t="shared" si="12"/>
        <v>0.1152</v>
      </c>
      <c r="M38" s="4">
        <f t="shared" si="13"/>
        <v>3.0424000000000002</v>
      </c>
      <c r="N38" s="4">
        <v>1.4617</v>
      </c>
      <c r="O38" s="73">
        <f>SUM(J38:N38)</f>
        <v>4.9905000000000008</v>
      </c>
      <c r="AI38" s="32"/>
      <c r="AJ38" s="32"/>
      <c r="AK38" s="32"/>
    </row>
    <row r="39" spans="1:37" ht="15" x14ac:dyDescent="0.25">
      <c r="A39" s="74" t="s">
        <v>245</v>
      </c>
      <c r="B39" s="2"/>
      <c r="C39" s="2" t="s">
        <v>278</v>
      </c>
      <c r="D39" s="3">
        <f>(H39+O39-I39)*200</f>
        <v>1548.2600000000002</v>
      </c>
      <c r="E39" s="72">
        <f>I$6</f>
        <v>3.0906000000000002</v>
      </c>
      <c r="F39" s="4">
        <v>0</v>
      </c>
      <c r="G39" s="4">
        <v>2.2437999999999998</v>
      </c>
      <c r="H39" s="73">
        <f>SUM(E39+F39+G39)</f>
        <v>5.3344000000000005</v>
      </c>
      <c r="I39" s="120">
        <v>1.1218999999999999</v>
      </c>
      <c r="J39" s="72">
        <f>O$8</f>
        <v>0.37119999999999997</v>
      </c>
      <c r="K39" s="4">
        <v>0</v>
      </c>
      <c r="L39" s="4">
        <f t="shared" si="12"/>
        <v>0.1152</v>
      </c>
      <c r="M39" s="4">
        <f t="shared" si="13"/>
        <v>3.0424000000000002</v>
      </c>
      <c r="N39" s="4">
        <v>0</v>
      </c>
      <c r="O39" s="73">
        <f>SUM(J39:N39)</f>
        <v>3.5288000000000004</v>
      </c>
      <c r="AI39" s="32"/>
      <c r="AJ39" s="32"/>
      <c r="AK39" s="32"/>
    </row>
    <row r="40" spans="1:37" ht="15" x14ac:dyDescent="0.25">
      <c r="A40" s="31" t="s">
        <v>53</v>
      </c>
      <c r="B40" s="2"/>
      <c r="C40" s="2" t="s">
        <v>279</v>
      </c>
      <c r="D40" s="3">
        <f t="shared" si="9"/>
        <v>1548.2600000000002</v>
      </c>
      <c r="E40" s="72">
        <f t="shared" si="10"/>
        <v>3.0906000000000002</v>
      </c>
      <c r="F40" s="4">
        <v>0</v>
      </c>
      <c r="G40" s="4">
        <v>2.2437999999999998</v>
      </c>
      <c r="H40" s="73">
        <f t="shared" si="11"/>
        <v>5.3344000000000005</v>
      </c>
      <c r="I40" s="120">
        <v>1.1218999999999999</v>
      </c>
      <c r="J40" s="72">
        <f t="shared" si="1"/>
        <v>0.37119999999999997</v>
      </c>
      <c r="K40" s="4">
        <v>0</v>
      </c>
      <c r="L40" s="4">
        <f t="shared" si="12"/>
        <v>0.1152</v>
      </c>
      <c r="M40" s="4">
        <f t="shared" si="13"/>
        <v>3.0424000000000002</v>
      </c>
      <c r="N40" s="4">
        <v>0</v>
      </c>
      <c r="O40" s="73">
        <f t="shared" si="14"/>
        <v>3.5288000000000004</v>
      </c>
      <c r="AI40" s="32"/>
      <c r="AJ40" s="32"/>
      <c r="AK40" s="32"/>
    </row>
    <row r="41" spans="1:37" ht="15" x14ac:dyDescent="0.25">
      <c r="A41" s="74" t="s">
        <v>54</v>
      </c>
      <c r="B41" s="2"/>
      <c r="C41" s="2" t="s">
        <v>280</v>
      </c>
      <c r="D41" s="3">
        <f t="shared" si="9"/>
        <v>939.78</v>
      </c>
      <c r="E41" s="72">
        <f t="shared" si="10"/>
        <v>3.0906000000000002</v>
      </c>
      <c r="F41" s="4">
        <v>0</v>
      </c>
      <c r="G41" s="4">
        <v>2.2437999999999998</v>
      </c>
      <c r="H41" s="73">
        <f t="shared" si="11"/>
        <v>5.3344000000000005</v>
      </c>
      <c r="I41" s="120">
        <v>1.1218999999999999</v>
      </c>
      <c r="J41" s="72">
        <f t="shared" si="1"/>
        <v>0.37119999999999997</v>
      </c>
      <c r="K41" s="4">
        <v>0</v>
      </c>
      <c r="L41" s="4">
        <f t="shared" si="12"/>
        <v>0.1152</v>
      </c>
      <c r="M41" s="4">
        <v>0</v>
      </c>
      <c r="N41" s="4">
        <v>0</v>
      </c>
      <c r="O41" s="73">
        <f t="shared" si="14"/>
        <v>0.48639999999999994</v>
      </c>
      <c r="AI41" s="32"/>
      <c r="AJ41" s="32"/>
      <c r="AK41" s="32"/>
    </row>
    <row r="42" spans="1:37" ht="15" x14ac:dyDescent="0.25">
      <c r="A42" s="1" t="s">
        <v>55</v>
      </c>
      <c r="B42" s="2"/>
      <c r="C42" s="2" t="s">
        <v>281</v>
      </c>
      <c r="D42" s="3">
        <f t="shared" si="9"/>
        <v>986.35999999999979</v>
      </c>
      <c r="E42" s="72">
        <f t="shared" si="10"/>
        <v>3.0906000000000002</v>
      </c>
      <c r="F42" s="4">
        <v>0.2329</v>
      </c>
      <c r="G42" s="4">
        <v>2.2437999999999998</v>
      </c>
      <c r="H42" s="73">
        <f t="shared" si="11"/>
        <v>5.5672999999999995</v>
      </c>
      <c r="I42" s="120">
        <v>1.1218999999999999</v>
      </c>
      <c r="J42" s="72">
        <f t="shared" si="1"/>
        <v>0.37119999999999997</v>
      </c>
      <c r="K42" s="4">
        <v>0</v>
      </c>
      <c r="L42" s="4">
        <f t="shared" si="12"/>
        <v>0.1152</v>
      </c>
      <c r="M42" s="4">
        <v>0</v>
      </c>
      <c r="N42" s="4">
        <v>0</v>
      </c>
      <c r="O42" s="73">
        <f t="shared" si="14"/>
        <v>0.48639999999999994</v>
      </c>
      <c r="AI42" s="35"/>
      <c r="AJ42" s="35"/>
      <c r="AK42" s="35"/>
    </row>
    <row r="43" spans="1:37" ht="15" x14ac:dyDescent="0.25">
      <c r="A43" s="22" t="s">
        <v>56</v>
      </c>
      <c r="B43" s="16"/>
      <c r="C43" s="16" t="s">
        <v>282</v>
      </c>
      <c r="D43" s="17">
        <f>(H43+O43-I43)*200</f>
        <v>2048.2600000000002</v>
      </c>
      <c r="E43" s="76">
        <f>I$6</f>
        <v>3.0906000000000002</v>
      </c>
      <c r="F43" s="18">
        <v>0</v>
      </c>
      <c r="G43" s="4">
        <v>2.2437999999999998</v>
      </c>
      <c r="H43" s="78">
        <f>SUM(E43+F43+G43)</f>
        <v>5.3344000000000005</v>
      </c>
      <c r="I43" s="120">
        <v>1.1218999999999999</v>
      </c>
      <c r="J43" s="76">
        <f>O$8</f>
        <v>0.37119999999999997</v>
      </c>
      <c r="K43" s="18">
        <v>0</v>
      </c>
      <c r="L43" s="4">
        <f t="shared" si="12"/>
        <v>0.1152</v>
      </c>
      <c r="M43" s="4">
        <f t="shared" ref="M43" si="15">3+0.0424</f>
        <v>3.0424000000000002</v>
      </c>
      <c r="N43" s="18">
        <v>2.5</v>
      </c>
      <c r="O43" s="77">
        <f>SUM(J43:N43)</f>
        <v>6.0288000000000004</v>
      </c>
      <c r="AI43" s="32"/>
      <c r="AJ43" s="32"/>
      <c r="AK43" s="32"/>
    </row>
    <row r="44" spans="1:37" ht="15" x14ac:dyDescent="0.25">
      <c r="A44" s="74" t="s">
        <v>57</v>
      </c>
      <c r="B44" s="2"/>
      <c r="C44" s="2" t="s">
        <v>216</v>
      </c>
      <c r="D44" s="3"/>
      <c r="E44" s="72"/>
      <c r="F44" s="4"/>
      <c r="G44" s="4"/>
      <c r="H44" s="73"/>
      <c r="I44" s="122"/>
      <c r="J44" s="72"/>
      <c r="K44" s="4"/>
      <c r="L44" s="4"/>
      <c r="M44" s="4"/>
      <c r="N44" s="4"/>
      <c r="O44" s="73"/>
      <c r="AI44" s="32"/>
      <c r="AJ44" s="32"/>
      <c r="AK44" s="32"/>
    </row>
    <row r="45" spans="1:37" ht="15" x14ac:dyDescent="0.25">
      <c r="A45" s="74"/>
      <c r="B45" s="2"/>
      <c r="C45" s="2" t="s">
        <v>268</v>
      </c>
      <c r="D45" s="3">
        <f>(H45+O45-I45)*200</f>
        <v>1738.5000000000002</v>
      </c>
      <c r="E45" s="72">
        <f>I$6</f>
        <v>3.0906000000000002</v>
      </c>
      <c r="F45" s="4">
        <v>0</v>
      </c>
      <c r="G45" s="4">
        <v>2.2437999999999998</v>
      </c>
      <c r="H45" s="73">
        <f>SUM(E45+F45+G45)</f>
        <v>5.3344000000000005</v>
      </c>
      <c r="I45" s="120">
        <v>1.1218999999999999</v>
      </c>
      <c r="J45" s="72">
        <f>O$8</f>
        <v>0.37119999999999997</v>
      </c>
      <c r="K45" s="4">
        <v>0</v>
      </c>
      <c r="L45" s="4">
        <f t="shared" si="12"/>
        <v>0.1152</v>
      </c>
      <c r="M45" s="4">
        <f t="shared" ref="M45:M47" si="16">3+0.0424</f>
        <v>3.0424000000000002</v>
      </c>
      <c r="N45" s="4">
        <f>0.6917+0.2595</f>
        <v>0.95120000000000005</v>
      </c>
      <c r="O45" s="73">
        <f>SUM(J45:N45)</f>
        <v>4.4800000000000004</v>
      </c>
      <c r="AI45" s="32"/>
      <c r="AJ45" s="32"/>
      <c r="AK45" s="32"/>
    </row>
    <row r="46" spans="1:37" ht="15" x14ac:dyDescent="0.25">
      <c r="A46" s="22" t="s">
        <v>58</v>
      </c>
      <c r="B46" s="16"/>
      <c r="C46" s="16" t="s">
        <v>283</v>
      </c>
      <c r="D46" s="17">
        <f>(H46+O46-I46)*200</f>
        <v>1548.2600000000002</v>
      </c>
      <c r="E46" s="76">
        <f>I$6</f>
        <v>3.0906000000000002</v>
      </c>
      <c r="F46" s="18">
        <v>0</v>
      </c>
      <c r="G46" s="4">
        <v>2.2437999999999998</v>
      </c>
      <c r="H46" s="78">
        <f>SUM(E46+F46+G46)</f>
        <v>5.3344000000000005</v>
      </c>
      <c r="I46" s="120">
        <v>1.1218999999999999</v>
      </c>
      <c r="J46" s="76">
        <f t="shared" ref="J46:J83" si="17">O$8</f>
        <v>0.37119999999999997</v>
      </c>
      <c r="K46" s="18">
        <v>0</v>
      </c>
      <c r="L46" s="4">
        <f t="shared" si="12"/>
        <v>0.1152</v>
      </c>
      <c r="M46" s="4">
        <f t="shared" si="16"/>
        <v>3.0424000000000002</v>
      </c>
      <c r="N46" s="18">
        <v>0</v>
      </c>
      <c r="O46" s="77">
        <f>SUM(J46:N46)</f>
        <v>3.5288000000000004</v>
      </c>
    </row>
    <row r="47" spans="1:37" ht="15.75" thickBot="1" x14ac:dyDescent="0.3">
      <c r="A47" s="33" t="s">
        <v>59</v>
      </c>
      <c r="B47" s="5"/>
      <c r="C47" s="5" t="s">
        <v>284</v>
      </c>
      <c r="D47" s="6">
        <f>(H47+O47-I47)*200</f>
        <v>1548.2600000000002</v>
      </c>
      <c r="E47" s="79">
        <f>I$6</f>
        <v>3.0906000000000002</v>
      </c>
      <c r="F47" s="7">
        <v>0</v>
      </c>
      <c r="G47" s="7">
        <v>2.2437999999999998</v>
      </c>
      <c r="H47" s="80">
        <f>SUM(E47+F47+G47)</f>
        <v>5.3344000000000005</v>
      </c>
      <c r="I47" s="121">
        <v>1.1218999999999999</v>
      </c>
      <c r="J47" s="79">
        <f t="shared" si="17"/>
        <v>0.37119999999999997</v>
      </c>
      <c r="K47" s="7">
        <v>0</v>
      </c>
      <c r="L47" s="7">
        <f t="shared" si="12"/>
        <v>0.1152</v>
      </c>
      <c r="M47" s="7">
        <f t="shared" si="16"/>
        <v>3.0424000000000002</v>
      </c>
      <c r="N47" s="7">
        <v>0</v>
      </c>
      <c r="O47" s="81">
        <f>SUM(J47:N47)</f>
        <v>3.5288000000000004</v>
      </c>
    </row>
    <row r="48" spans="1:37" x14ac:dyDescent="0.2">
      <c r="A48" s="82" t="s">
        <v>0</v>
      </c>
    </row>
    <row r="51" spans="1:37" x14ac:dyDescent="0.2">
      <c r="AI51" s="35"/>
      <c r="AJ51" s="35"/>
      <c r="AK51" s="35"/>
    </row>
    <row r="52" spans="1:37" ht="16.5" thickBot="1" x14ac:dyDescent="0.3">
      <c r="A52" s="35"/>
      <c r="B52" s="35"/>
      <c r="C52" s="35"/>
      <c r="D52" s="83" t="s">
        <v>0</v>
      </c>
      <c r="E52" s="126" t="s">
        <v>12</v>
      </c>
      <c r="F52" s="126"/>
      <c r="G52" s="126"/>
      <c r="H52" s="126"/>
      <c r="I52" s="54" t="s">
        <v>0</v>
      </c>
      <c r="J52" s="126" t="s">
        <v>13</v>
      </c>
      <c r="K52" s="126"/>
      <c r="L52" s="126"/>
      <c r="M52" s="126"/>
      <c r="N52" s="126"/>
      <c r="O52" s="126"/>
      <c r="AI52" s="35"/>
      <c r="AJ52" s="35"/>
      <c r="AK52" s="35"/>
    </row>
    <row r="53" spans="1:37" x14ac:dyDescent="0.2">
      <c r="A53" s="55" t="s">
        <v>14</v>
      </c>
      <c r="B53" s="11"/>
      <c r="C53" s="11" t="s">
        <v>15</v>
      </c>
      <c r="D53" s="12" t="s">
        <v>0</v>
      </c>
      <c r="E53" s="84" t="s">
        <v>16</v>
      </c>
      <c r="F53" s="11" t="s">
        <v>17</v>
      </c>
      <c r="G53" s="11" t="s">
        <v>18</v>
      </c>
      <c r="H53" s="85" t="s">
        <v>60</v>
      </c>
      <c r="I53" s="60" t="s">
        <v>20</v>
      </c>
      <c r="J53" s="84" t="s">
        <v>16</v>
      </c>
      <c r="K53" s="11" t="s">
        <v>21</v>
      </c>
      <c r="L53" s="11" t="s">
        <v>18</v>
      </c>
      <c r="M53" s="11" t="s">
        <v>22</v>
      </c>
      <c r="N53" s="11" t="s">
        <v>23</v>
      </c>
      <c r="O53" s="85" t="s">
        <v>24</v>
      </c>
      <c r="P53" s="60"/>
      <c r="AI53" s="35"/>
      <c r="AJ53" s="35"/>
      <c r="AK53" s="35"/>
    </row>
    <row r="54" spans="1:37" x14ac:dyDescent="0.2">
      <c r="A54" s="62" t="s">
        <v>25</v>
      </c>
      <c r="B54" s="8"/>
      <c r="C54" s="8" t="s">
        <v>26</v>
      </c>
      <c r="D54" s="86" t="s">
        <v>0</v>
      </c>
      <c r="E54" s="87" t="s">
        <v>28</v>
      </c>
      <c r="F54" s="8" t="s">
        <v>29</v>
      </c>
      <c r="G54" s="88" t="s">
        <v>25</v>
      </c>
      <c r="H54" s="89" t="s">
        <v>30</v>
      </c>
      <c r="I54" s="60" t="s">
        <v>31</v>
      </c>
      <c r="J54" s="87" t="s">
        <v>28</v>
      </c>
      <c r="K54" s="8" t="s">
        <v>32</v>
      </c>
      <c r="L54" s="88" t="s">
        <v>25</v>
      </c>
      <c r="M54" s="8" t="s">
        <v>33</v>
      </c>
      <c r="N54" s="8" t="s">
        <v>33</v>
      </c>
      <c r="O54" s="89" t="s">
        <v>30</v>
      </c>
      <c r="P54" s="60"/>
      <c r="AI54" s="35"/>
      <c r="AJ54" s="35"/>
      <c r="AK54" s="35"/>
    </row>
    <row r="55" spans="1:37" x14ac:dyDescent="0.2">
      <c r="A55" s="62" t="s">
        <v>34</v>
      </c>
      <c r="B55" s="8"/>
      <c r="C55" s="8"/>
      <c r="D55" s="86" t="s">
        <v>0</v>
      </c>
      <c r="E55" s="87" t="s">
        <v>35</v>
      </c>
      <c r="F55" s="8"/>
      <c r="G55" s="8"/>
      <c r="H55" s="90"/>
      <c r="I55" s="8"/>
      <c r="J55" s="87" t="s">
        <v>35</v>
      </c>
      <c r="K55" s="8"/>
      <c r="L55" s="8"/>
      <c r="M55" s="8"/>
      <c r="N55" s="8"/>
      <c r="O55" s="90"/>
      <c r="AI55" s="32"/>
      <c r="AJ55" s="32"/>
      <c r="AK55" s="32"/>
    </row>
    <row r="56" spans="1:37" ht="15" x14ac:dyDescent="0.25">
      <c r="A56" s="31" t="s">
        <v>61</v>
      </c>
      <c r="B56" s="2" t="s">
        <v>0</v>
      </c>
      <c r="C56" s="2" t="s">
        <v>236</v>
      </c>
      <c r="D56" s="3">
        <f t="shared" ref="D56:D65" si="18">(H56+O56-I56)*200</f>
        <v>869.9000000000002</v>
      </c>
      <c r="E56" s="72">
        <f t="shared" ref="E56:E65" si="19">I$6</f>
        <v>3.0906000000000002</v>
      </c>
      <c r="F56" s="4">
        <v>0</v>
      </c>
      <c r="G56" s="4">
        <f>1.077+0.6985</f>
        <v>1.7755000000000001</v>
      </c>
      <c r="H56" s="73">
        <f t="shared" ref="H56:H65" si="20">SUM(E56+F56+G56)</f>
        <v>4.8661000000000003</v>
      </c>
      <c r="I56" s="120">
        <f>0.5385+0.3493</f>
        <v>0.88779999999999992</v>
      </c>
      <c r="J56" s="72">
        <f t="shared" si="17"/>
        <v>0.37119999999999997</v>
      </c>
      <c r="K56" s="4">
        <v>0</v>
      </c>
      <c r="L56" s="4">
        <v>0</v>
      </c>
      <c r="M56" s="4">
        <v>0</v>
      </c>
      <c r="N56" s="4">
        <v>0</v>
      </c>
      <c r="O56" s="73">
        <f t="shared" ref="O56:O63" si="21">SUM(J56:N56)</f>
        <v>0.37119999999999997</v>
      </c>
      <c r="AI56" s="32"/>
      <c r="AJ56" s="32"/>
      <c r="AK56" s="32"/>
    </row>
    <row r="57" spans="1:37" ht="16.149999999999999" customHeight="1" x14ac:dyDescent="0.25">
      <c r="A57" s="31" t="s">
        <v>62</v>
      </c>
      <c r="B57" s="2" t="s">
        <v>0</v>
      </c>
      <c r="C57" s="2" t="s">
        <v>237</v>
      </c>
      <c r="D57" s="3">
        <f t="shared" si="18"/>
        <v>869.9000000000002</v>
      </c>
      <c r="E57" s="72">
        <f t="shared" si="19"/>
        <v>3.0906000000000002</v>
      </c>
      <c r="F57" s="4">
        <v>0</v>
      </c>
      <c r="G57" s="4">
        <f t="shared" ref="G57:G62" si="22">1.077+0.6985</f>
        <v>1.7755000000000001</v>
      </c>
      <c r="H57" s="73">
        <f t="shared" si="20"/>
        <v>4.8661000000000003</v>
      </c>
      <c r="I57" s="120">
        <f t="shared" ref="I57:I62" si="23">0.5385+0.3493</f>
        <v>0.88779999999999992</v>
      </c>
      <c r="J57" s="72">
        <f t="shared" si="17"/>
        <v>0.37119999999999997</v>
      </c>
      <c r="K57" s="4">
        <v>0</v>
      </c>
      <c r="L57" s="4">
        <v>0</v>
      </c>
      <c r="M57" s="4">
        <v>0</v>
      </c>
      <c r="N57" s="4">
        <v>0</v>
      </c>
      <c r="O57" s="73">
        <f>SUM(J57:N57)</f>
        <v>0.37119999999999997</v>
      </c>
      <c r="AI57" s="32"/>
      <c r="AJ57" s="32"/>
      <c r="AK57" s="32"/>
    </row>
    <row r="58" spans="1:37" ht="16.899999999999999" customHeight="1" x14ac:dyDescent="0.25">
      <c r="A58" s="31" t="s">
        <v>63</v>
      </c>
      <c r="B58" s="2" t="s">
        <v>0</v>
      </c>
      <c r="C58" s="2" t="s">
        <v>238</v>
      </c>
      <c r="D58" s="3">
        <f t="shared" si="18"/>
        <v>1577.9999999999998</v>
      </c>
      <c r="E58" s="72">
        <f t="shared" si="19"/>
        <v>3.0906000000000002</v>
      </c>
      <c r="F58" s="4">
        <v>0</v>
      </c>
      <c r="G58" s="4">
        <f t="shared" si="22"/>
        <v>1.7755000000000001</v>
      </c>
      <c r="H58" s="73">
        <f t="shared" si="20"/>
        <v>4.8661000000000003</v>
      </c>
      <c r="I58" s="120">
        <f t="shared" si="23"/>
        <v>0.88779999999999992</v>
      </c>
      <c r="J58" s="72">
        <f t="shared" si="17"/>
        <v>0.37119999999999997</v>
      </c>
      <c r="K58" s="4">
        <v>0</v>
      </c>
      <c r="L58" s="4">
        <v>0</v>
      </c>
      <c r="M58" s="4">
        <f>3.3179+0.2226</f>
        <v>3.5404999999999998</v>
      </c>
      <c r="N58" s="4">
        <v>0</v>
      </c>
      <c r="O58" s="73">
        <f t="shared" si="21"/>
        <v>3.9116999999999997</v>
      </c>
      <c r="AI58" s="32"/>
      <c r="AJ58" s="32"/>
      <c r="AK58" s="32"/>
    </row>
    <row r="59" spans="1:37" ht="16.899999999999999" customHeight="1" x14ac:dyDescent="0.25">
      <c r="A59" s="74" t="s">
        <v>64</v>
      </c>
      <c r="B59" s="2"/>
      <c r="C59" s="2" t="s">
        <v>239</v>
      </c>
      <c r="D59" s="3">
        <f t="shared" si="18"/>
        <v>1060.1400000000001</v>
      </c>
      <c r="E59" s="72">
        <f t="shared" si="19"/>
        <v>3.0906000000000002</v>
      </c>
      <c r="F59" s="4">
        <v>0</v>
      </c>
      <c r="G59" s="4">
        <f t="shared" si="22"/>
        <v>1.7755000000000001</v>
      </c>
      <c r="H59" s="73">
        <f t="shared" si="20"/>
        <v>4.8661000000000003</v>
      </c>
      <c r="I59" s="120">
        <f t="shared" si="23"/>
        <v>0.88779999999999992</v>
      </c>
      <c r="J59" s="72">
        <f t="shared" si="17"/>
        <v>0.37119999999999997</v>
      </c>
      <c r="K59" s="4">
        <v>0</v>
      </c>
      <c r="L59" s="4">
        <v>0</v>
      </c>
      <c r="M59" s="4">
        <v>0</v>
      </c>
      <c r="N59" s="4">
        <f>0.6917+0.2595</f>
        <v>0.95120000000000005</v>
      </c>
      <c r="O59" s="73">
        <f t="shared" si="21"/>
        <v>1.3224</v>
      </c>
      <c r="AI59" s="32"/>
      <c r="AJ59" s="32"/>
      <c r="AK59" s="32"/>
    </row>
    <row r="60" spans="1:37" ht="16.899999999999999" customHeight="1" x14ac:dyDescent="0.25">
      <c r="A60" s="74" t="s">
        <v>65</v>
      </c>
      <c r="B60" s="2"/>
      <c r="C60" s="2" t="s">
        <v>240</v>
      </c>
      <c r="D60" s="3">
        <f t="shared" si="18"/>
        <v>1399.8999999999999</v>
      </c>
      <c r="E60" s="72">
        <f t="shared" si="19"/>
        <v>3.0906000000000002</v>
      </c>
      <c r="F60" s="4">
        <v>0</v>
      </c>
      <c r="G60" s="4">
        <f t="shared" si="22"/>
        <v>1.7755000000000001</v>
      </c>
      <c r="H60" s="73">
        <f>SUM(E60+F60+G60)</f>
        <v>4.8661000000000003</v>
      </c>
      <c r="I60" s="120">
        <f t="shared" si="23"/>
        <v>0.88779999999999992</v>
      </c>
      <c r="J60" s="72">
        <f t="shared" si="17"/>
        <v>0.37119999999999997</v>
      </c>
      <c r="K60" s="4">
        <v>0</v>
      </c>
      <c r="L60" s="4">
        <v>0</v>
      </c>
      <c r="M60" s="4">
        <v>2.65</v>
      </c>
      <c r="N60" s="4">
        <v>0</v>
      </c>
      <c r="O60" s="73">
        <f>SUM(J60:N60)</f>
        <v>3.0211999999999999</v>
      </c>
      <c r="AI60" s="32"/>
      <c r="AJ60" s="32"/>
      <c r="AK60" s="32"/>
    </row>
    <row r="61" spans="1:37" ht="16.899999999999999" customHeight="1" x14ac:dyDescent="0.25">
      <c r="A61" s="74" t="s">
        <v>66</v>
      </c>
      <c r="B61" s="2"/>
      <c r="C61" s="2" t="s">
        <v>241</v>
      </c>
      <c r="D61" s="3">
        <f>(H61+O61-I61)*200</f>
        <v>1399.8999999999999</v>
      </c>
      <c r="E61" s="72">
        <f t="shared" si="19"/>
        <v>3.0906000000000002</v>
      </c>
      <c r="F61" s="4">
        <v>0</v>
      </c>
      <c r="G61" s="4">
        <f t="shared" si="22"/>
        <v>1.7755000000000001</v>
      </c>
      <c r="H61" s="73">
        <f>SUM(E61+F61+G61)</f>
        <v>4.8661000000000003</v>
      </c>
      <c r="I61" s="120">
        <f t="shared" si="23"/>
        <v>0.88779999999999992</v>
      </c>
      <c r="J61" s="72">
        <f>O$8</f>
        <v>0.37119999999999997</v>
      </c>
      <c r="K61" s="4">
        <v>0</v>
      </c>
      <c r="L61" s="4">
        <v>0</v>
      </c>
      <c r="M61" s="4">
        <v>2.65</v>
      </c>
      <c r="N61" s="4">
        <v>0</v>
      </c>
      <c r="O61" s="73">
        <f>SUM(J61:N61)</f>
        <v>3.0211999999999999</v>
      </c>
      <c r="AI61" s="32"/>
      <c r="AJ61" s="32"/>
      <c r="AK61" s="32"/>
    </row>
    <row r="62" spans="1:37" ht="16.899999999999999" customHeight="1" x14ac:dyDescent="0.25">
      <c r="A62" s="74" t="s">
        <v>229</v>
      </c>
      <c r="B62" s="2"/>
      <c r="C62" s="2" t="s">
        <v>242</v>
      </c>
      <c r="D62" s="3">
        <f>(H62+O62-I62)*200</f>
        <v>869.9000000000002</v>
      </c>
      <c r="E62" s="72">
        <f t="shared" si="19"/>
        <v>3.0906000000000002</v>
      </c>
      <c r="F62" s="4">
        <v>0</v>
      </c>
      <c r="G62" s="4">
        <f t="shared" si="22"/>
        <v>1.7755000000000001</v>
      </c>
      <c r="H62" s="73">
        <f>SUM(E62+F62+G62)</f>
        <v>4.8661000000000003</v>
      </c>
      <c r="I62" s="120">
        <f t="shared" si="23"/>
        <v>0.88779999999999992</v>
      </c>
      <c r="J62" s="72">
        <f>O$8</f>
        <v>0.37119999999999997</v>
      </c>
      <c r="K62" s="4">
        <v>0</v>
      </c>
      <c r="L62" s="4">
        <v>0</v>
      </c>
      <c r="M62" s="4">
        <v>0</v>
      </c>
      <c r="N62" s="4">
        <v>0</v>
      </c>
      <c r="O62" s="73">
        <f>SUM(J62:N62)</f>
        <v>0.37119999999999997</v>
      </c>
      <c r="AI62" s="32"/>
      <c r="AJ62" s="32"/>
      <c r="AK62" s="32"/>
    </row>
    <row r="63" spans="1:37" ht="16.899999999999999" customHeight="1" x14ac:dyDescent="0.25">
      <c r="A63" s="31" t="s">
        <v>67</v>
      </c>
      <c r="B63" s="2" t="s">
        <v>68</v>
      </c>
      <c r="C63" s="2" t="s">
        <v>69</v>
      </c>
      <c r="D63" s="3">
        <f t="shared" si="18"/>
        <v>1226.18</v>
      </c>
      <c r="E63" s="72">
        <f t="shared" si="19"/>
        <v>3.0906000000000002</v>
      </c>
      <c r="F63" s="4">
        <v>0</v>
      </c>
      <c r="G63" s="4">
        <f>1.6426+1.6179</f>
        <v>3.2605</v>
      </c>
      <c r="H63" s="73">
        <f t="shared" si="20"/>
        <v>6.3511000000000006</v>
      </c>
      <c r="I63" s="120">
        <f>0.7803+0.7803</f>
        <v>1.5606</v>
      </c>
      <c r="J63" s="72">
        <f t="shared" si="17"/>
        <v>0.37119999999999997</v>
      </c>
      <c r="K63" s="4">
        <v>0</v>
      </c>
      <c r="L63" s="4">
        <f>0.5464+0.2329+0.1399+0.05</f>
        <v>0.96920000000000006</v>
      </c>
      <c r="M63" s="4">
        <v>0</v>
      </c>
      <c r="N63" s="4">
        <v>0</v>
      </c>
      <c r="O63" s="73">
        <f t="shared" si="21"/>
        <v>1.3404</v>
      </c>
      <c r="AI63" s="32"/>
      <c r="AJ63" s="32"/>
      <c r="AK63" s="32"/>
    </row>
    <row r="64" spans="1:37" ht="16.899999999999999" customHeight="1" x14ac:dyDescent="0.25">
      <c r="A64" s="92" t="s">
        <v>70</v>
      </c>
      <c r="B64" s="2" t="s">
        <v>68</v>
      </c>
      <c r="C64" s="2" t="s">
        <v>246</v>
      </c>
      <c r="D64" s="3">
        <f>(H64+O64-I64)*200</f>
        <v>1888.1799999999998</v>
      </c>
      <c r="E64" s="72">
        <f t="shared" si="19"/>
        <v>3.0906000000000002</v>
      </c>
      <c r="F64" s="4">
        <v>0</v>
      </c>
      <c r="G64" s="4">
        <f t="shared" ref="G64:G65" si="24">1.6426+1.6179</f>
        <v>3.2605</v>
      </c>
      <c r="H64" s="73">
        <f>SUM(E64+F64+G64)</f>
        <v>6.3511000000000006</v>
      </c>
      <c r="I64" s="120">
        <f t="shared" ref="I64:I65" si="25">0.7803+0.7803</f>
        <v>1.5606</v>
      </c>
      <c r="J64" s="72">
        <f>O$8</f>
        <v>0.37119999999999997</v>
      </c>
      <c r="K64" s="4">
        <v>0</v>
      </c>
      <c r="L64" s="4">
        <f>0.5464+0.2329+0.1399+0.05</f>
        <v>0.96920000000000006</v>
      </c>
      <c r="M64" s="4">
        <v>3.31</v>
      </c>
      <c r="N64" s="4">
        <v>0</v>
      </c>
      <c r="O64" s="73">
        <f>SUM(J64:N64)</f>
        <v>4.6504000000000003</v>
      </c>
      <c r="AI64" s="32"/>
      <c r="AJ64" s="32"/>
      <c r="AK64" s="32"/>
    </row>
    <row r="65" spans="1:37" ht="16.149999999999999" customHeight="1" x14ac:dyDescent="0.25">
      <c r="A65" s="31" t="s">
        <v>71</v>
      </c>
      <c r="B65" s="2" t="s">
        <v>68</v>
      </c>
      <c r="C65" s="2" t="s">
        <v>247</v>
      </c>
      <c r="D65" s="3">
        <f t="shared" si="18"/>
        <v>2156.7999999999997</v>
      </c>
      <c r="E65" s="72">
        <f t="shared" si="19"/>
        <v>3.0906000000000002</v>
      </c>
      <c r="F65" s="4">
        <v>1.3431</v>
      </c>
      <c r="G65" s="4">
        <f t="shared" si="24"/>
        <v>3.2605</v>
      </c>
      <c r="H65" s="73">
        <f t="shared" si="20"/>
        <v>7.6942000000000004</v>
      </c>
      <c r="I65" s="120">
        <f t="shared" si="25"/>
        <v>1.5606</v>
      </c>
      <c r="J65" s="72">
        <f t="shared" si="17"/>
        <v>0.37119999999999997</v>
      </c>
      <c r="K65" s="4">
        <v>0</v>
      </c>
      <c r="L65" s="4">
        <f>0.5464+0.2329+0.1399+0.05</f>
        <v>0.96920000000000006</v>
      </c>
      <c r="M65" s="4">
        <v>3.31</v>
      </c>
      <c r="N65" s="4">
        <v>0</v>
      </c>
      <c r="O65" s="73">
        <f>SUM(J65:N65)</f>
        <v>4.6504000000000003</v>
      </c>
      <c r="AI65" s="32"/>
      <c r="AJ65" s="32"/>
      <c r="AK65" s="32"/>
    </row>
    <row r="66" spans="1:37" ht="15" x14ac:dyDescent="0.25">
      <c r="A66" s="74" t="s">
        <v>72</v>
      </c>
      <c r="B66" s="2" t="s">
        <v>68</v>
      </c>
      <c r="C66" s="2" t="s">
        <v>73</v>
      </c>
      <c r="D66" s="3"/>
      <c r="E66" s="72" t="s">
        <v>0</v>
      </c>
      <c r="F66" s="4"/>
      <c r="G66" s="4" t="s">
        <v>0</v>
      </c>
      <c r="H66" s="73"/>
      <c r="I66" s="120" t="s">
        <v>0</v>
      </c>
      <c r="J66" s="72" t="s">
        <v>0</v>
      </c>
      <c r="K66" s="4"/>
      <c r="L66" s="4" t="s">
        <v>0</v>
      </c>
      <c r="M66" s="4"/>
      <c r="N66" s="4"/>
      <c r="O66" s="73"/>
      <c r="AI66" s="32"/>
      <c r="AJ66" s="32"/>
      <c r="AK66" s="32"/>
    </row>
    <row r="67" spans="1:37" ht="15" x14ac:dyDescent="0.25">
      <c r="A67" s="74"/>
      <c r="B67" s="2"/>
      <c r="C67" s="2" t="s">
        <v>74</v>
      </c>
      <c r="D67" s="3">
        <f>(H67+O67-I67)*200</f>
        <v>1494.8000000000002</v>
      </c>
      <c r="E67" s="72">
        <f t="shared" ref="E67:E78" si="26">I$6</f>
        <v>3.0906000000000002</v>
      </c>
      <c r="F67" s="4">
        <v>1.3431</v>
      </c>
      <c r="G67" s="4">
        <f t="shared" ref="G67:G70" si="27">1.6426+1.6179</f>
        <v>3.2605</v>
      </c>
      <c r="H67" s="73">
        <f t="shared" ref="H67:H75" si="28">SUM(E67+F67+G67)</f>
        <v>7.6942000000000004</v>
      </c>
      <c r="I67" s="120">
        <f t="shared" ref="I67:I80" si="29">0.7803+0.7803</f>
        <v>1.5606</v>
      </c>
      <c r="J67" s="72">
        <f t="shared" si="17"/>
        <v>0.37119999999999997</v>
      </c>
      <c r="K67" s="4">
        <v>0</v>
      </c>
      <c r="L67" s="4">
        <f>0.5464+0.2329+0.1399+0.05</f>
        <v>0.96920000000000006</v>
      </c>
      <c r="M67" s="4">
        <v>0</v>
      </c>
      <c r="N67" s="4">
        <v>0</v>
      </c>
      <c r="O67" s="73">
        <f t="shared" ref="O67:O75" si="30">SUM(J67:N67)</f>
        <v>1.3404</v>
      </c>
      <c r="AI67" s="32"/>
      <c r="AJ67" s="32"/>
      <c r="AK67" s="32"/>
    </row>
    <row r="68" spans="1:37" ht="15" x14ac:dyDescent="0.25">
      <c r="A68" s="31" t="s">
        <v>75</v>
      </c>
      <c r="B68" s="2" t="s">
        <v>68</v>
      </c>
      <c r="C68" s="2" t="s">
        <v>76</v>
      </c>
      <c r="D68" s="3">
        <f>(H68+O68-I68)*200</f>
        <v>1888.1799999999998</v>
      </c>
      <c r="E68" s="72">
        <f t="shared" si="26"/>
        <v>3.0906000000000002</v>
      </c>
      <c r="F68" s="4">
        <v>0</v>
      </c>
      <c r="G68" s="4">
        <f t="shared" si="27"/>
        <v>3.2605</v>
      </c>
      <c r="H68" s="73">
        <f t="shared" si="28"/>
        <v>6.3511000000000006</v>
      </c>
      <c r="I68" s="120">
        <f t="shared" si="29"/>
        <v>1.5606</v>
      </c>
      <c r="J68" s="72">
        <f t="shared" si="17"/>
        <v>0.37119999999999997</v>
      </c>
      <c r="K68" s="4">
        <v>0</v>
      </c>
      <c r="L68" s="4">
        <f>0.5464+0.2329+0.1399+0.05</f>
        <v>0.96920000000000006</v>
      </c>
      <c r="M68" s="4">
        <v>3.31</v>
      </c>
      <c r="N68" s="4">
        <v>0</v>
      </c>
      <c r="O68" s="73">
        <f t="shared" si="30"/>
        <v>4.6504000000000003</v>
      </c>
      <c r="AI68" s="32"/>
      <c r="AJ68" s="32"/>
      <c r="AK68" s="32"/>
    </row>
    <row r="69" spans="1:37" ht="14.25" customHeight="1" x14ac:dyDescent="0.25">
      <c r="A69" s="93" t="s">
        <v>77</v>
      </c>
      <c r="B69" s="14" t="s">
        <v>68</v>
      </c>
      <c r="C69" s="14" t="s">
        <v>233</v>
      </c>
      <c r="D69" s="3">
        <f>(H69+O69-I69)*200</f>
        <v>1226.18</v>
      </c>
      <c r="E69" s="72">
        <f t="shared" si="26"/>
        <v>3.0906000000000002</v>
      </c>
      <c r="F69" s="4">
        <v>0</v>
      </c>
      <c r="G69" s="4">
        <f t="shared" si="27"/>
        <v>3.2605</v>
      </c>
      <c r="H69" s="73">
        <f>SUM(E69+F69+G69)</f>
        <v>6.3511000000000006</v>
      </c>
      <c r="I69" s="120">
        <f t="shared" si="29"/>
        <v>1.5606</v>
      </c>
      <c r="J69" s="72">
        <f t="shared" si="17"/>
        <v>0.37119999999999997</v>
      </c>
      <c r="K69" s="4">
        <v>0</v>
      </c>
      <c r="L69" s="4">
        <f>0.5464+0.2329+0.1399+0.05</f>
        <v>0.96920000000000006</v>
      </c>
      <c r="M69" s="4">
        <v>0</v>
      </c>
      <c r="N69" s="4">
        <v>0</v>
      </c>
      <c r="O69" s="73">
        <f>SUM(J69:N69)</f>
        <v>1.3404</v>
      </c>
      <c r="AI69" s="32"/>
      <c r="AJ69" s="32"/>
      <c r="AK69" s="32"/>
    </row>
    <row r="70" spans="1:37" ht="16.899999999999999" customHeight="1" x14ac:dyDescent="0.25">
      <c r="A70" s="31" t="s">
        <v>79</v>
      </c>
      <c r="B70" s="2" t="s">
        <v>68</v>
      </c>
      <c r="C70" s="2" t="s">
        <v>80</v>
      </c>
      <c r="D70" s="3">
        <f t="shared" ref="D70:D78" si="31">(H70+O70-I70)*200</f>
        <v>1347.8600000000001</v>
      </c>
      <c r="E70" s="72">
        <f t="shared" si="26"/>
        <v>3.0906000000000002</v>
      </c>
      <c r="F70" s="4">
        <v>0.60840000000000005</v>
      </c>
      <c r="G70" s="4">
        <f t="shared" si="27"/>
        <v>3.2605</v>
      </c>
      <c r="H70" s="73">
        <f t="shared" si="28"/>
        <v>6.9595000000000002</v>
      </c>
      <c r="I70" s="120">
        <f t="shared" si="29"/>
        <v>1.5606</v>
      </c>
      <c r="J70" s="72">
        <f t="shared" si="17"/>
        <v>0.37119999999999997</v>
      </c>
      <c r="K70" s="4">
        <v>0</v>
      </c>
      <c r="L70" s="4">
        <f>0.5464+0.2329+0.1399+0.05</f>
        <v>0.96920000000000006</v>
      </c>
      <c r="M70" s="4">
        <v>0</v>
      </c>
      <c r="N70" s="4">
        <v>0</v>
      </c>
      <c r="O70" s="73">
        <f t="shared" si="30"/>
        <v>1.3404</v>
      </c>
      <c r="AI70" s="32"/>
      <c r="AJ70" s="32"/>
      <c r="AK70" s="32"/>
    </row>
    <row r="71" spans="1:37" ht="16.899999999999999" customHeight="1" x14ac:dyDescent="0.25">
      <c r="A71" s="31" t="s">
        <v>81</v>
      </c>
      <c r="B71" s="2" t="s">
        <v>68</v>
      </c>
      <c r="C71" s="2" t="s">
        <v>82</v>
      </c>
      <c r="D71" s="3">
        <f t="shared" si="31"/>
        <v>1290.5</v>
      </c>
      <c r="E71" s="72">
        <f t="shared" si="26"/>
        <v>3.0906000000000002</v>
      </c>
      <c r="F71" s="4">
        <v>0</v>
      </c>
      <c r="G71" s="4">
        <f>1.7973+1.6179</f>
        <v>3.4151999999999996</v>
      </c>
      <c r="H71" s="73">
        <f t="shared" si="28"/>
        <v>6.5057999999999998</v>
      </c>
      <c r="I71" s="120">
        <f t="shared" si="29"/>
        <v>1.5606</v>
      </c>
      <c r="J71" s="72">
        <f t="shared" si="17"/>
        <v>0.37119999999999997</v>
      </c>
      <c r="K71" s="4">
        <v>0</v>
      </c>
      <c r="L71" s="4">
        <f>0.3923+0.321+0.2329+0.1399+0.05</f>
        <v>1.1361000000000001</v>
      </c>
      <c r="M71" s="4">
        <v>0</v>
      </c>
      <c r="N71" s="4">
        <v>0</v>
      </c>
      <c r="O71" s="73">
        <f t="shared" si="30"/>
        <v>1.5073000000000001</v>
      </c>
      <c r="AI71" s="32"/>
      <c r="AJ71" s="32"/>
      <c r="AK71" s="32"/>
    </row>
    <row r="72" spans="1:37" ht="16.899999999999999" customHeight="1" x14ac:dyDescent="0.25">
      <c r="A72" s="74" t="s">
        <v>83</v>
      </c>
      <c r="B72" s="2" t="s">
        <v>68</v>
      </c>
      <c r="C72" s="2" t="s">
        <v>84</v>
      </c>
      <c r="D72" s="3">
        <f t="shared" si="31"/>
        <v>1842.3400000000001</v>
      </c>
      <c r="E72" s="72">
        <f t="shared" si="26"/>
        <v>3.0906000000000002</v>
      </c>
      <c r="F72" s="4">
        <v>0</v>
      </c>
      <c r="G72" s="4">
        <f t="shared" ref="G72:G78" si="32">1.7973+1.6179</f>
        <v>3.4151999999999996</v>
      </c>
      <c r="H72" s="73">
        <f>SUM(E72+F72+G72)</f>
        <v>6.5057999999999998</v>
      </c>
      <c r="I72" s="120">
        <f t="shared" si="29"/>
        <v>1.5606</v>
      </c>
      <c r="J72" s="72">
        <f>O$8</f>
        <v>0.37119999999999997</v>
      </c>
      <c r="K72" s="4">
        <v>0</v>
      </c>
      <c r="L72" s="4">
        <f t="shared" ref="L72:L78" si="33">0.3923+0.321+0.2329+0.1399+0.05</f>
        <v>1.1361000000000001</v>
      </c>
      <c r="M72" s="4">
        <v>2.7591999999999999</v>
      </c>
      <c r="N72" s="4">
        <v>0</v>
      </c>
      <c r="O72" s="73">
        <f>SUM(J72:N72)</f>
        <v>4.2664999999999997</v>
      </c>
      <c r="AI72" s="32"/>
      <c r="AJ72" s="32"/>
      <c r="AK72" s="32"/>
    </row>
    <row r="73" spans="1:37" ht="16.899999999999999" customHeight="1" x14ac:dyDescent="0.25">
      <c r="A73" s="74" t="s">
        <v>261</v>
      </c>
      <c r="B73" s="2" t="s">
        <v>68</v>
      </c>
      <c r="C73" s="2" t="s">
        <v>262</v>
      </c>
      <c r="D73" s="3">
        <f>(H73+O73-I73)*200</f>
        <v>2008.5</v>
      </c>
      <c r="E73" s="72">
        <f>I$6</f>
        <v>3.0906000000000002</v>
      </c>
      <c r="F73" s="4">
        <v>0</v>
      </c>
      <c r="G73" s="4">
        <f t="shared" si="32"/>
        <v>3.4151999999999996</v>
      </c>
      <c r="H73" s="73">
        <f>SUM(E73+F73+G73)</f>
        <v>6.5057999999999998</v>
      </c>
      <c r="I73" s="120">
        <f t="shared" si="29"/>
        <v>1.5606</v>
      </c>
      <c r="J73" s="72">
        <f>O$8</f>
        <v>0.37119999999999997</v>
      </c>
      <c r="K73" s="4">
        <v>0</v>
      </c>
      <c r="L73" s="4">
        <f t="shared" si="33"/>
        <v>1.1361000000000001</v>
      </c>
      <c r="M73" s="4">
        <v>3.59</v>
      </c>
      <c r="N73" s="4">
        <v>0</v>
      </c>
      <c r="O73" s="73">
        <f>SUM(J73:N73)</f>
        <v>5.0972999999999997</v>
      </c>
      <c r="AI73" s="32"/>
      <c r="AJ73" s="32"/>
      <c r="AK73" s="32"/>
    </row>
    <row r="74" spans="1:37" ht="16.899999999999999" customHeight="1" x14ac:dyDescent="0.25">
      <c r="A74" s="74" t="s">
        <v>350</v>
      </c>
      <c r="B74" s="94" t="s">
        <v>68</v>
      </c>
      <c r="C74" s="2" t="s">
        <v>353</v>
      </c>
      <c r="D74" s="3"/>
      <c r="E74" s="72">
        <f>I$6</f>
        <v>3.0906000000000002</v>
      </c>
      <c r="F74" s="4">
        <v>0</v>
      </c>
      <c r="G74" s="4">
        <f t="shared" si="32"/>
        <v>3.4151999999999996</v>
      </c>
      <c r="H74" s="73">
        <f>SUM(E74+F74+G74)</f>
        <v>6.5057999999999998</v>
      </c>
      <c r="I74" s="120">
        <f t="shared" si="29"/>
        <v>1.5606</v>
      </c>
      <c r="J74" s="72">
        <f>O$8</f>
        <v>0.37119999999999997</v>
      </c>
      <c r="K74" s="4">
        <v>0</v>
      </c>
      <c r="L74" s="4">
        <f t="shared" si="33"/>
        <v>1.1361000000000001</v>
      </c>
      <c r="M74" s="4">
        <v>0</v>
      </c>
      <c r="N74" s="4">
        <v>0</v>
      </c>
      <c r="O74" s="73">
        <f>SUM(J74:N74)</f>
        <v>1.5073000000000001</v>
      </c>
      <c r="AI74" s="32"/>
      <c r="AJ74" s="32"/>
      <c r="AK74" s="32"/>
    </row>
    <row r="75" spans="1:37" ht="16.899999999999999" customHeight="1" x14ac:dyDescent="0.25">
      <c r="A75" s="31" t="s">
        <v>85</v>
      </c>
      <c r="B75" s="2" t="s">
        <v>68</v>
      </c>
      <c r="C75" s="2" t="s">
        <v>86</v>
      </c>
      <c r="D75" s="3">
        <f t="shared" si="31"/>
        <v>1952.4999999999998</v>
      </c>
      <c r="E75" s="72">
        <f t="shared" si="26"/>
        <v>3.0906000000000002</v>
      </c>
      <c r="F75" s="4">
        <v>0</v>
      </c>
      <c r="G75" s="4">
        <f t="shared" si="32"/>
        <v>3.4151999999999996</v>
      </c>
      <c r="H75" s="73">
        <f t="shared" si="28"/>
        <v>6.5057999999999998</v>
      </c>
      <c r="I75" s="120">
        <f t="shared" si="29"/>
        <v>1.5606</v>
      </c>
      <c r="J75" s="72">
        <f t="shared" si="17"/>
        <v>0.37119999999999997</v>
      </c>
      <c r="K75" s="4">
        <v>0</v>
      </c>
      <c r="L75" s="4">
        <f t="shared" si="33"/>
        <v>1.1361000000000001</v>
      </c>
      <c r="M75" s="4">
        <v>3.31</v>
      </c>
      <c r="N75" s="4">
        <v>0</v>
      </c>
      <c r="O75" s="73">
        <f t="shared" si="30"/>
        <v>4.8173000000000004</v>
      </c>
      <c r="AI75" s="32"/>
      <c r="AJ75" s="32"/>
      <c r="AK75" s="32"/>
    </row>
    <row r="76" spans="1:37" ht="16.899999999999999" customHeight="1" x14ac:dyDescent="0.25">
      <c r="A76" s="95" t="s">
        <v>87</v>
      </c>
      <c r="B76" s="2" t="s">
        <v>68</v>
      </c>
      <c r="C76" s="2" t="s">
        <v>88</v>
      </c>
      <c r="D76" s="3">
        <f t="shared" si="31"/>
        <v>1952.4999999999998</v>
      </c>
      <c r="E76" s="72">
        <f t="shared" si="26"/>
        <v>3.0906000000000002</v>
      </c>
      <c r="F76" s="4">
        <v>0</v>
      </c>
      <c r="G76" s="4">
        <f t="shared" si="32"/>
        <v>3.4151999999999996</v>
      </c>
      <c r="H76" s="73">
        <f>SUM(E76+F76+G76)</f>
        <v>6.5057999999999998</v>
      </c>
      <c r="I76" s="120">
        <f t="shared" si="29"/>
        <v>1.5606</v>
      </c>
      <c r="J76" s="72">
        <f>O$8</f>
        <v>0.37119999999999997</v>
      </c>
      <c r="K76" s="4">
        <v>0</v>
      </c>
      <c r="L76" s="4">
        <f t="shared" si="33"/>
        <v>1.1361000000000001</v>
      </c>
      <c r="M76" s="4">
        <v>3.31</v>
      </c>
      <c r="N76" s="4">
        <v>0</v>
      </c>
      <c r="O76" s="73">
        <f>SUM(J76:N76)</f>
        <v>4.8173000000000004</v>
      </c>
      <c r="AI76" s="32"/>
      <c r="AJ76" s="32"/>
      <c r="AK76" s="32"/>
    </row>
    <row r="77" spans="1:37" ht="17.45" customHeight="1" x14ac:dyDescent="0.25">
      <c r="A77" s="31" t="s">
        <v>89</v>
      </c>
      <c r="B77" s="2" t="s">
        <v>68</v>
      </c>
      <c r="C77" s="2" t="s">
        <v>90</v>
      </c>
      <c r="D77" s="3">
        <f t="shared" si="31"/>
        <v>1290.5</v>
      </c>
      <c r="E77" s="72">
        <f t="shared" si="26"/>
        <v>3.0906000000000002</v>
      </c>
      <c r="F77" s="4">
        <v>0</v>
      </c>
      <c r="G77" s="4">
        <f t="shared" si="32"/>
        <v>3.4151999999999996</v>
      </c>
      <c r="H77" s="73">
        <f>SUM(E77+F77+G77)</f>
        <v>6.5057999999999998</v>
      </c>
      <c r="I77" s="120">
        <f t="shared" si="29"/>
        <v>1.5606</v>
      </c>
      <c r="J77" s="72">
        <f t="shared" si="17"/>
        <v>0.37119999999999997</v>
      </c>
      <c r="K77" s="4">
        <v>0</v>
      </c>
      <c r="L77" s="4">
        <f t="shared" si="33"/>
        <v>1.1361000000000001</v>
      </c>
      <c r="M77" s="4">
        <v>0</v>
      </c>
      <c r="N77" s="4">
        <v>0</v>
      </c>
      <c r="O77" s="73">
        <f>SUM(J77:N77)</f>
        <v>1.5073000000000001</v>
      </c>
      <c r="AI77" s="32"/>
      <c r="AJ77" s="32"/>
      <c r="AK77" s="32"/>
    </row>
    <row r="78" spans="1:37" ht="16.149999999999999" customHeight="1" x14ac:dyDescent="0.25">
      <c r="A78" s="31" t="s">
        <v>91</v>
      </c>
      <c r="B78" s="2" t="s">
        <v>68</v>
      </c>
      <c r="C78" s="2" t="s">
        <v>248</v>
      </c>
      <c r="D78" s="3">
        <f t="shared" si="31"/>
        <v>2221.12</v>
      </c>
      <c r="E78" s="72">
        <f t="shared" si="26"/>
        <v>3.0906000000000002</v>
      </c>
      <c r="F78" s="4">
        <v>1.3431</v>
      </c>
      <c r="G78" s="4">
        <f t="shared" si="32"/>
        <v>3.4151999999999996</v>
      </c>
      <c r="H78" s="73">
        <f>SUM(E78+F78+G78)</f>
        <v>7.8488999999999995</v>
      </c>
      <c r="I78" s="120">
        <f t="shared" si="29"/>
        <v>1.5606</v>
      </c>
      <c r="J78" s="72">
        <f t="shared" si="17"/>
        <v>0.37119999999999997</v>
      </c>
      <c r="K78" s="4">
        <v>0</v>
      </c>
      <c r="L78" s="4">
        <f t="shared" si="33"/>
        <v>1.1361000000000001</v>
      </c>
      <c r="M78" s="4">
        <v>3.31</v>
      </c>
      <c r="N78" s="4">
        <v>0</v>
      </c>
      <c r="O78" s="73">
        <f>SUM(J78:N78)</f>
        <v>4.8173000000000004</v>
      </c>
    </row>
    <row r="79" spans="1:37" ht="15" x14ac:dyDescent="0.25">
      <c r="A79" s="74" t="s">
        <v>92</v>
      </c>
      <c r="B79" s="2" t="s">
        <v>68</v>
      </c>
      <c r="C79" s="2" t="s">
        <v>93</v>
      </c>
      <c r="D79" s="3"/>
      <c r="E79" s="72" t="s">
        <v>0</v>
      </c>
      <c r="F79" s="4"/>
      <c r="G79" s="4" t="s">
        <v>0</v>
      </c>
      <c r="H79" s="73"/>
      <c r="I79" s="120" t="s">
        <v>0</v>
      </c>
      <c r="J79" s="72" t="s">
        <v>0</v>
      </c>
      <c r="K79" s="4"/>
      <c r="L79" s="4" t="s">
        <v>0</v>
      </c>
      <c r="M79" s="4"/>
      <c r="N79" s="4"/>
      <c r="O79" s="73"/>
      <c r="AI79" s="32"/>
      <c r="AJ79" s="32"/>
      <c r="AK79" s="32"/>
    </row>
    <row r="80" spans="1:37" ht="15" x14ac:dyDescent="0.25">
      <c r="A80" s="74"/>
      <c r="B80" s="2"/>
      <c r="C80" s="2" t="s">
        <v>78</v>
      </c>
      <c r="D80" s="3">
        <f>(H80+O80-I80)*200</f>
        <v>1952.4999999999998</v>
      </c>
      <c r="E80" s="72">
        <f>I$6</f>
        <v>3.0906000000000002</v>
      </c>
      <c r="F80" s="4">
        <v>0</v>
      </c>
      <c r="G80" s="4">
        <f>1.7973+1.6179</f>
        <v>3.4151999999999996</v>
      </c>
      <c r="H80" s="73">
        <f>SUM(E80+F80+G80)</f>
        <v>6.5057999999999998</v>
      </c>
      <c r="I80" s="120">
        <f t="shared" si="29"/>
        <v>1.5606</v>
      </c>
      <c r="J80" s="72">
        <f t="shared" si="17"/>
        <v>0.37119999999999997</v>
      </c>
      <c r="K80" s="4">
        <v>0</v>
      </c>
      <c r="L80" s="4">
        <f>0.3923+0.321+0.2329+0.1399+0.05</f>
        <v>1.1361000000000001</v>
      </c>
      <c r="M80" s="4">
        <v>3.31</v>
      </c>
      <c r="N80" s="4">
        <v>0</v>
      </c>
      <c r="O80" s="73">
        <f>SUM(J80:N80)</f>
        <v>4.8173000000000004</v>
      </c>
      <c r="AI80" s="32"/>
      <c r="AJ80" s="32"/>
      <c r="AK80" s="32"/>
    </row>
    <row r="81" spans="1:37" ht="15" x14ac:dyDescent="0.25">
      <c r="A81" s="74" t="s">
        <v>94</v>
      </c>
      <c r="B81" s="2"/>
      <c r="C81" s="2" t="s">
        <v>226</v>
      </c>
      <c r="D81" s="3">
        <f>(H81+O81-I81)*200</f>
        <v>1523.5800000000002</v>
      </c>
      <c r="E81" s="72">
        <f>I$6</f>
        <v>3.0906000000000002</v>
      </c>
      <c r="F81" s="4">
        <v>0</v>
      </c>
      <c r="G81" s="4">
        <f>0.7403+0.8434</f>
        <v>1.5836999999999999</v>
      </c>
      <c r="H81" s="73">
        <f>SUM(E81+F81+G81)</f>
        <v>4.6743000000000006</v>
      </c>
      <c r="I81" s="120">
        <f>0.3701+0.4217</f>
        <v>0.79180000000000006</v>
      </c>
      <c r="J81" s="72">
        <f t="shared" si="17"/>
        <v>0.37119999999999997</v>
      </c>
      <c r="K81" s="4">
        <v>0</v>
      </c>
      <c r="L81" s="4">
        <f>0.1026+0.4524+0.05</f>
        <v>0.60500000000000009</v>
      </c>
      <c r="M81" s="4">
        <v>2.7591999999999999</v>
      </c>
      <c r="N81" s="4">
        <v>0</v>
      </c>
      <c r="O81" s="73">
        <f>SUM(J81:N81)</f>
        <v>3.7353999999999998</v>
      </c>
      <c r="AI81" s="32"/>
      <c r="AJ81" s="32"/>
      <c r="AK81" s="32"/>
    </row>
    <row r="82" spans="1:37" ht="15" x14ac:dyDescent="0.25">
      <c r="A82" s="74" t="s">
        <v>95</v>
      </c>
      <c r="B82" s="2"/>
      <c r="C82" s="2" t="s">
        <v>243</v>
      </c>
      <c r="D82" s="3"/>
      <c r="E82" s="72" t="s">
        <v>0</v>
      </c>
      <c r="F82" s="4"/>
      <c r="G82" s="4"/>
      <c r="H82" s="73"/>
      <c r="I82" s="120" t="s">
        <v>0</v>
      </c>
      <c r="J82" s="72" t="s">
        <v>0</v>
      </c>
      <c r="K82" s="4"/>
      <c r="L82" s="4"/>
      <c r="M82" s="4"/>
      <c r="N82" s="4"/>
      <c r="O82" s="73"/>
      <c r="AI82" s="32"/>
      <c r="AJ82" s="32"/>
      <c r="AK82" s="32"/>
    </row>
    <row r="83" spans="1:37" ht="15" x14ac:dyDescent="0.25">
      <c r="A83" s="74"/>
      <c r="B83" s="2"/>
      <c r="C83" s="2" t="s">
        <v>359</v>
      </c>
      <c r="D83" s="3">
        <f>(H83+O83-I83)*200</f>
        <v>1538.22</v>
      </c>
      <c r="E83" s="72">
        <f>I$6</f>
        <v>3.0906000000000002</v>
      </c>
      <c r="F83" s="4">
        <v>0</v>
      </c>
      <c r="G83" s="4">
        <f>0.7403+0.8434</f>
        <v>1.5836999999999999</v>
      </c>
      <c r="H83" s="73">
        <f>SUM(E83+F83+G83)</f>
        <v>4.6743000000000006</v>
      </c>
      <c r="I83" s="120">
        <f>0.3701+0.4217</f>
        <v>0.79180000000000006</v>
      </c>
      <c r="J83" s="72">
        <f t="shared" si="17"/>
        <v>0.37119999999999997</v>
      </c>
      <c r="K83" s="4">
        <v>0</v>
      </c>
      <c r="L83" s="4">
        <f>0.1026+0.4524+0.05</f>
        <v>0.60500000000000009</v>
      </c>
      <c r="M83" s="4">
        <v>2.7591999999999999</v>
      </c>
      <c r="N83" s="4">
        <v>7.3200000000000001E-2</v>
      </c>
      <c r="O83" s="73">
        <f>SUM(J83:N83)</f>
        <v>3.8085999999999998</v>
      </c>
      <c r="P83" s="117"/>
      <c r="AI83" s="32"/>
      <c r="AJ83" s="32"/>
      <c r="AK83" s="32"/>
    </row>
    <row r="84" spans="1:37" ht="15" x14ac:dyDescent="0.25">
      <c r="A84" s="74" t="s">
        <v>96</v>
      </c>
      <c r="B84" s="2"/>
      <c r="C84" s="2" t="s">
        <v>97</v>
      </c>
      <c r="D84" s="3"/>
      <c r="E84" s="72" t="s">
        <v>0</v>
      </c>
      <c r="F84" s="4"/>
      <c r="G84" s="4"/>
      <c r="H84" s="73"/>
      <c r="I84" s="120" t="s">
        <v>0</v>
      </c>
      <c r="J84" s="72" t="s">
        <v>0</v>
      </c>
      <c r="K84" s="4"/>
      <c r="L84" s="4"/>
      <c r="M84" s="4" t="s">
        <v>0</v>
      </c>
      <c r="N84" s="4"/>
      <c r="O84" s="73"/>
      <c r="AI84" s="32"/>
      <c r="AJ84" s="32"/>
      <c r="AK84" s="32"/>
    </row>
    <row r="85" spans="1:37" ht="15" x14ac:dyDescent="0.25">
      <c r="A85" s="74"/>
      <c r="B85" s="2"/>
      <c r="C85" s="2" t="s">
        <v>228</v>
      </c>
      <c r="D85" s="3">
        <f>(H85+O85-I85)*200</f>
        <v>1523.5800000000002</v>
      </c>
      <c r="E85" s="72">
        <f>I$6</f>
        <v>3.0906000000000002</v>
      </c>
      <c r="F85" s="4">
        <v>0</v>
      </c>
      <c r="G85" s="4">
        <f>0.7403+0.8434</f>
        <v>1.5836999999999999</v>
      </c>
      <c r="H85" s="73">
        <f>SUM(E85+F85+G85)</f>
        <v>4.6743000000000006</v>
      </c>
      <c r="I85" s="120">
        <f>0.3701+0.4217</f>
        <v>0.79180000000000006</v>
      </c>
      <c r="J85" s="72">
        <f>O$8</f>
        <v>0.37119999999999997</v>
      </c>
      <c r="K85" s="4">
        <v>0</v>
      </c>
      <c r="L85" s="4">
        <f>0.1026+0.4524+0.05</f>
        <v>0.60500000000000009</v>
      </c>
      <c r="M85" s="4">
        <v>2.7591999999999999</v>
      </c>
      <c r="N85" s="4">
        <v>0</v>
      </c>
      <c r="O85" s="73">
        <f>SUM(J85:N85)</f>
        <v>3.7353999999999998</v>
      </c>
      <c r="AI85" s="32"/>
      <c r="AJ85" s="32"/>
      <c r="AK85" s="32"/>
    </row>
    <row r="86" spans="1:37" ht="15" x14ac:dyDescent="0.25">
      <c r="A86" s="74" t="s">
        <v>210</v>
      </c>
      <c r="B86" s="2"/>
      <c r="C86" s="2" t="s">
        <v>211</v>
      </c>
      <c r="D86" s="3"/>
      <c r="E86" s="72" t="s">
        <v>0</v>
      </c>
      <c r="F86" s="4"/>
      <c r="G86" s="4"/>
      <c r="H86" s="73"/>
      <c r="I86" s="120" t="s">
        <v>0</v>
      </c>
      <c r="J86" s="72" t="s">
        <v>0</v>
      </c>
      <c r="K86" s="4"/>
      <c r="L86" s="4"/>
      <c r="M86" s="4" t="s">
        <v>0</v>
      </c>
      <c r="N86" s="4"/>
      <c r="O86" s="73"/>
      <c r="AI86" s="32"/>
      <c r="AJ86" s="32"/>
      <c r="AK86" s="32"/>
    </row>
    <row r="87" spans="1:37" s="29" customFormat="1" ht="13.5" customHeight="1" x14ac:dyDescent="0.25">
      <c r="A87" s="23"/>
      <c r="B87" s="24"/>
      <c r="C87" s="16" t="s">
        <v>227</v>
      </c>
      <c r="D87" s="17">
        <f>(H87+O87-I87)*200</f>
        <v>1523.5800000000002</v>
      </c>
      <c r="E87" s="72">
        <f>I$6</f>
        <v>3.0906000000000002</v>
      </c>
      <c r="F87" s="4">
        <v>0</v>
      </c>
      <c r="G87" s="4">
        <f>0.7403+0.8434</f>
        <v>1.5836999999999999</v>
      </c>
      <c r="H87" s="73">
        <f>SUM(E87+F87+G87)</f>
        <v>4.6743000000000006</v>
      </c>
      <c r="I87" s="120">
        <f>0.3701+0.4217</f>
        <v>0.79180000000000006</v>
      </c>
      <c r="J87" s="72">
        <f>O$8</f>
        <v>0.37119999999999997</v>
      </c>
      <c r="K87" s="4">
        <v>0</v>
      </c>
      <c r="L87" s="4">
        <f>0.1026+0.4524+0.05</f>
        <v>0.60500000000000009</v>
      </c>
      <c r="M87" s="4">
        <v>2.7591999999999999</v>
      </c>
      <c r="N87" s="4">
        <v>0</v>
      </c>
      <c r="O87" s="73">
        <f>SUM(J87:N87)</f>
        <v>3.7353999999999998</v>
      </c>
    </row>
    <row r="88" spans="1:37" s="29" customFormat="1" ht="13.5" customHeight="1" x14ac:dyDescent="0.25">
      <c r="A88" s="25" t="s">
        <v>217</v>
      </c>
      <c r="B88" s="26"/>
      <c r="C88" s="14" t="s">
        <v>225</v>
      </c>
      <c r="D88" s="9"/>
      <c r="E88" s="72"/>
      <c r="F88" s="4"/>
      <c r="G88" s="4"/>
      <c r="H88" s="73"/>
      <c r="I88" s="120"/>
      <c r="J88" s="72"/>
      <c r="K88" s="4"/>
      <c r="L88" s="4"/>
      <c r="M88" s="4" t="s">
        <v>0</v>
      </c>
      <c r="N88" s="4"/>
      <c r="O88" s="73"/>
    </row>
    <row r="89" spans="1:37" s="29" customFormat="1" ht="13.5" customHeight="1" x14ac:dyDescent="0.25">
      <c r="A89" s="27"/>
      <c r="B89" s="28"/>
      <c r="C89" s="8" t="s">
        <v>227</v>
      </c>
      <c r="D89" s="17">
        <f>(H89+O89-I89)*200</f>
        <v>1538.22</v>
      </c>
      <c r="E89" s="72">
        <f>I$6</f>
        <v>3.0906000000000002</v>
      </c>
      <c r="F89" s="4">
        <v>0</v>
      </c>
      <c r="G89" s="4">
        <f>0.7403+0.8434</f>
        <v>1.5836999999999999</v>
      </c>
      <c r="H89" s="73">
        <f>SUM(E89+F89+G89)</f>
        <v>4.6743000000000006</v>
      </c>
      <c r="I89" s="120">
        <f>0.3701+0.4217</f>
        <v>0.79180000000000006</v>
      </c>
      <c r="J89" s="72">
        <f>O$8</f>
        <v>0.37119999999999997</v>
      </c>
      <c r="K89" s="4">
        <v>0</v>
      </c>
      <c r="L89" s="4">
        <f>0.1026+0.4524+0.05</f>
        <v>0.60500000000000009</v>
      </c>
      <c r="M89" s="4">
        <v>2.7591999999999999</v>
      </c>
      <c r="N89" s="4">
        <v>7.3200000000000001E-2</v>
      </c>
      <c r="O89" s="73">
        <f>SUM(J89:N89)</f>
        <v>3.8085999999999998</v>
      </c>
    </row>
    <row r="90" spans="1:37" s="29" customFormat="1" ht="13.5" customHeight="1" x14ac:dyDescent="0.25">
      <c r="A90" s="25" t="s">
        <v>249</v>
      </c>
      <c r="B90" s="26"/>
      <c r="C90" s="14" t="s">
        <v>250</v>
      </c>
      <c r="D90" s="9"/>
      <c r="E90" s="72"/>
      <c r="F90" s="4"/>
      <c r="G90" s="4"/>
      <c r="H90" s="73"/>
      <c r="I90" s="120"/>
      <c r="J90" s="72"/>
      <c r="K90" s="4"/>
      <c r="L90" s="4"/>
      <c r="M90" s="4"/>
      <c r="N90" s="4"/>
      <c r="O90" s="73"/>
    </row>
    <row r="91" spans="1:37" s="29" customFormat="1" ht="13.5" customHeight="1" x14ac:dyDescent="0.25">
      <c r="A91" s="27"/>
      <c r="B91" s="28"/>
      <c r="C91" s="8" t="s">
        <v>251</v>
      </c>
      <c r="D91" s="17">
        <f>(H91+O91-I91)*200</f>
        <v>1523.5800000000002</v>
      </c>
      <c r="E91" s="72">
        <f>I$6</f>
        <v>3.0906000000000002</v>
      </c>
      <c r="F91" s="4">
        <v>0</v>
      </c>
      <c r="G91" s="4">
        <f>0.7403+0.8434</f>
        <v>1.5836999999999999</v>
      </c>
      <c r="H91" s="73">
        <f>SUM(E91+F91+G91)</f>
        <v>4.6743000000000006</v>
      </c>
      <c r="I91" s="120">
        <f>0.3701+0.4217</f>
        <v>0.79180000000000006</v>
      </c>
      <c r="J91" s="72">
        <f>O$8</f>
        <v>0.37119999999999997</v>
      </c>
      <c r="K91" s="4">
        <v>0</v>
      </c>
      <c r="L91" s="4">
        <f>0.1026+0.4524+0.05</f>
        <v>0.60500000000000009</v>
      </c>
      <c r="M91" s="4">
        <v>2.7591999999999999</v>
      </c>
      <c r="N91" s="4">
        <v>0</v>
      </c>
      <c r="O91" s="73">
        <f>SUM(J91:N91)</f>
        <v>3.7353999999999998</v>
      </c>
    </row>
    <row r="92" spans="1:37" s="29" customFormat="1" ht="13.5" customHeight="1" x14ac:dyDescent="0.25">
      <c r="A92" s="27" t="s">
        <v>260</v>
      </c>
      <c r="B92" s="28"/>
      <c r="C92" s="14" t="s">
        <v>263</v>
      </c>
      <c r="D92" s="9"/>
      <c r="E92" s="72"/>
      <c r="F92" s="4"/>
      <c r="G92" s="4"/>
      <c r="H92" s="73"/>
      <c r="I92" s="120"/>
      <c r="J92" s="72"/>
      <c r="K92" s="4"/>
      <c r="L92" s="4"/>
      <c r="M92" s="4"/>
      <c r="N92" s="4"/>
      <c r="O92" s="73"/>
    </row>
    <row r="93" spans="1:37" s="29" customFormat="1" ht="13.5" customHeight="1" x14ac:dyDescent="0.25">
      <c r="A93" s="27"/>
      <c r="B93" s="28"/>
      <c r="C93" s="16" t="s">
        <v>228</v>
      </c>
      <c r="D93" s="9"/>
      <c r="E93" s="72">
        <f>I$6</f>
        <v>3.0906000000000002</v>
      </c>
      <c r="F93" s="4">
        <v>0</v>
      </c>
      <c r="G93" s="4">
        <f>0.7403+0.8434</f>
        <v>1.5836999999999999</v>
      </c>
      <c r="H93" s="73">
        <f>SUM(E93+F93+G93)</f>
        <v>4.6743000000000006</v>
      </c>
      <c r="I93" s="120">
        <f>0.3701+0.4217</f>
        <v>0.79180000000000006</v>
      </c>
      <c r="J93" s="72">
        <f>O$8</f>
        <v>0.37119999999999997</v>
      </c>
      <c r="K93" s="4">
        <v>0</v>
      </c>
      <c r="L93" s="4">
        <f>0.1026+0.4524+0.05</f>
        <v>0.60500000000000009</v>
      </c>
      <c r="M93" s="4">
        <v>2.7591999999999999</v>
      </c>
      <c r="N93" s="4">
        <v>0</v>
      </c>
      <c r="O93" s="73">
        <f>SUM(J93:N93)</f>
        <v>3.7353999999999998</v>
      </c>
    </row>
    <row r="94" spans="1:37" ht="18" customHeight="1" thickBot="1" x14ac:dyDescent="0.3">
      <c r="A94" s="33" t="s">
        <v>98</v>
      </c>
      <c r="B94" s="5"/>
      <c r="C94" s="5" t="s">
        <v>99</v>
      </c>
      <c r="D94" s="6">
        <f>(H94+O94-I94)*200</f>
        <v>1709.1599999999999</v>
      </c>
      <c r="E94" s="79">
        <f>I$6</f>
        <v>3.0906000000000002</v>
      </c>
      <c r="F94" s="7">
        <v>0</v>
      </c>
      <c r="G94" s="7">
        <f>6.1153+1.0585</f>
        <v>7.1738</v>
      </c>
      <c r="H94" s="80">
        <f>SUM(E94+F94+G94)</f>
        <v>10.2644</v>
      </c>
      <c r="I94" s="121">
        <f>1.5606+0.5292</f>
        <v>2.0897999999999999</v>
      </c>
      <c r="J94" s="79">
        <f>O$8</f>
        <v>0.37119999999999997</v>
      </c>
      <c r="K94" s="7">
        <v>0</v>
      </c>
      <c r="L94" s="7">
        <v>0</v>
      </c>
      <c r="M94" s="7">
        <v>0</v>
      </c>
      <c r="N94" s="7">
        <v>0</v>
      </c>
      <c r="O94" s="81">
        <f>SUM(J94:N94)</f>
        <v>0.37119999999999997</v>
      </c>
    </row>
    <row r="95" spans="1:37" ht="18" customHeight="1" x14ac:dyDescent="0.25">
      <c r="A95" s="8"/>
      <c r="B95" s="8"/>
      <c r="C95" s="8"/>
      <c r="D95" s="9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</row>
    <row r="96" spans="1:37" ht="15.75" x14ac:dyDescent="0.25">
      <c r="A96" s="98" t="s">
        <v>0</v>
      </c>
      <c r="B96" s="8"/>
      <c r="C96" s="8"/>
      <c r="D96" s="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</row>
    <row r="98" spans="1:37" x14ac:dyDescent="0.2">
      <c r="D98" s="83" t="s">
        <v>0</v>
      </c>
      <c r="AI98" s="35"/>
      <c r="AJ98" s="35"/>
      <c r="AK98" s="35"/>
    </row>
    <row r="99" spans="1:37" ht="16.5" thickBot="1" x14ac:dyDescent="0.3">
      <c r="A99" s="100"/>
      <c r="D99" s="9" t="s">
        <v>0</v>
      </c>
      <c r="E99" s="126" t="s">
        <v>12</v>
      </c>
      <c r="F99" s="126"/>
      <c r="G99" s="126"/>
      <c r="H99" s="126"/>
      <c r="I99" s="54" t="s">
        <v>0</v>
      </c>
      <c r="J99" s="126" t="s">
        <v>13</v>
      </c>
      <c r="K99" s="126"/>
      <c r="L99" s="126"/>
      <c r="M99" s="126"/>
      <c r="N99" s="126"/>
      <c r="O99" s="126"/>
      <c r="AI99" s="32"/>
      <c r="AJ99" s="35"/>
      <c r="AK99" s="32"/>
    </row>
    <row r="100" spans="1:37" x14ac:dyDescent="0.2">
      <c r="A100" s="55" t="s">
        <v>14</v>
      </c>
      <c r="B100" s="11"/>
      <c r="C100" s="11" t="s">
        <v>15</v>
      </c>
      <c r="D100" s="12" t="s">
        <v>0</v>
      </c>
      <c r="E100" s="84" t="s">
        <v>16</v>
      </c>
      <c r="F100" s="11" t="s">
        <v>17</v>
      </c>
      <c r="G100" s="11" t="s">
        <v>18</v>
      </c>
      <c r="H100" s="85" t="s">
        <v>60</v>
      </c>
      <c r="I100" s="60" t="s">
        <v>20</v>
      </c>
      <c r="J100" s="84" t="s">
        <v>16</v>
      </c>
      <c r="K100" s="11" t="s">
        <v>21</v>
      </c>
      <c r="L100" s="11" t="s">
        <v>18</v>
      </c>
      <c r="M100" s="11" t="s">
        <v>22</v>
      </c>
      <c r="N100" s="11" t="s">
        <v>23</v>
      </c>
      <c r="O100" s="85" t="s">
        <v>100</v>
      </c>
      <c r="P100" s="60"/>
      <c r="AI100" s="35"/>
      <c r="AJ100" s="35"/>
      <c r="AK100" s="35"/>
    </row>
    <row r="101" spans="1:37" x14ac:dyDescent="0.2">
      <c r="A101" s="62" t="s">
        <v>25</v>
      </c>
      <c r="B101" s="8"/>
      <c r="C101" s="8" t="s">
        <v>26</v>
      </c>
      <c r="D101" s="13" t="s">
        <v>0</v>
      </c>
      <c r="E101" s="87" t="s">
        <v>28</v>
      </c>
      <c r="F101" s="8" t="s">
        <v>29</v>
      </c>
      <c r="G101" s="88" t="s">
        <v>25</v>
      </c>
      <c r="H101" s="89" t="s">
        <v>30</v>
      </c>
      <c r="I101" s="60" t="s">
        <v>31</v>
      </c>
      <c r="J101" s="87" t="s">
        <v>28</v>
      </c>
      <c r="K101" s="8" t="s">
        <v>32</v>
      </c>
      <c r="L101" s="88" t="s">
        <v>25</v>
      </c>
      <c r="M101" s="8" t="s">
        <v>33</v>
      </c>
      <c r="N101" s="8" t="s">
        <v>33</v>
      </c>
      <c r="O101" s="89" t="s">
        <v>30</v>
      </c>
      <c r="P101" s="60"/>
      <c r="AI101" s="32"/>
      <c r="AJ101" s="35"/>
      <c r="AK101" s="32"/>
    </row>
    <row r="102" spans="1:37" x14ac:dyDescent="0.2">
      <c r="A102" s="62" t="s">
        <v>34</v>
      </c>
      <c r="B102" s="8"/>
      <c r="C102" s="8"/>
      <c r="D102" s="13" t="s">
        <v>0</v>
      </c>
      <c r="E102" s="87" t="s">
        <v>35</v>
      </c>
      <c r="F102" s="8"/>
      <c r="G102" s="8"/>
      <c r="H102" s="90"/>
      <c r="I102" s="8"/>
      <c r="J102" s="87" t="s">
        <v>35</v>
      </c>
      <c r="K102" s="8"/>
      <c r="L102" s="8"/>
      <c r="M102" s="8"/>
      <c r="N102" s="8"/>
      <c r="O102" s="90"/>
      <c r="AI102" s="32"/>
      <c r="AJ102" s="32"/>
      <c r="AK102" s="32"/>
    </row>
    <row r="103" spans="1:37" ht="15" x14ac:dyDescent="0.25">
      <c r="A103" s="31" t="s">
        <v>101</v>
      </c>
      <c r="B103" s="2"/>
      <c r="C103" s="2" t="s">
        <v>102</v>
      </c>
      <c r="D103" s="3">
        <f t="shared" ref="D103:D115" si="34">(H103+O103-I103)*200</f>
        <v>1405.0600000000002</v>
      </c>
      <c r="E103" s="72">
        <f>I$6</f>
        <v>3.0906000000000002</v>
      </c>
      <c r="F103" s="4">
        <v>0</v>
      </c>
      <c r="G103" s="4">
        <f>4.839+0.5702</f>
        <v>5.4092000000000002</v>
      </c>
      <c r="H103" s="73">
        <f t="shared" ref="H103:H115" si="35">SUM(E103+F103+G103)</f>
        <v>8.4998000000000005</v>
      </c>
      <c r="I103" s="120">
        <f>1.5606+0.2851</f>
        <v>1.8456999999999999</v>
      </c>
      <c r="J103" s="72">
        <f t="shared" ref="J103:J115" si="36">O$8</f>
        <v>0.37119999999999997</v>
      </c>
      <c r="K103" s="4">
        <v>0</v>
      </c>
      <c r="L103" s="4">
        <v>0</v>
      </c>
      <c r="M103" s="4">
        <v>0</v>
      </c>
      <c r="N103" s="4">
        <v>0</v>
      </c>
      <c r="O103" s="73">
        <f>SUM(J103:N103)</f>
        <v>0.37119999999999997</v>
      </c>
      <c r="AI103" s="32"/>
      <c r="AJ103" s="32"/>
      <c r="AK103" s="32"/>
    </row>
    <row r="104" spans="1:37" ht="15" x14ac:dyDescent="0.25">
      <c r="A104" s="31" t="s">
        <v>103</v>
      </c>
      <c r="B104" s="2"/>
      <c r="C104" s="2" t="s">
        <v>218</v>
      </c>
      <c r="D104" s="3">
        <f t="shared" si="34"/>
        <v>1615.1400000000003</v>
      </c>
      <c r="E104" s="72">
        <f>I$6</f>
        <v>3.0906000000000002</v>
      </c>
      <c r="F104" s="4">
        <v>0</v>
      </c>
      <c r="G104" s="4">
        <f t="shared" ref="G104:G107" si="37">4.839+0.5702</f>
        <v>5.4092000000000002</v>
      </c>
      <c r="H104" s="73">
        <f t="shared" si="35"/>
        <v>8.4998000000000005</v>
      </c>
      <c r="I104" s="120">
        <f t="shared" ref="I104:I107" si="38">1.5606+0.2851</f>
        <v>1.8456999999999999</v>
      </c>
      <c r="J104" s="72">
        <f t="shared" si="36"/>
        <v>0.37119999999999997</v>
      </c>
      <c r="K104" s="4">
        <v>0</v>
      </c>
      <c r="L104" s="4">
        <v>0</v>
      </c>
      <c r="M104" s="4">
        <v>0</v>
      </c>
      <c r="N104" s="4">
        <v>1.0504</v>
      </c>
      <c r="O104" s="73">
        <f>SUM(J104:N104)</f>
        <v>1.4216</v>
      </c>
      <c r="AI104" s="32"/>
      <c r="AJ104" s="32"/>
      <c r="AK104" s="32"/>
    </row>
    <row r="105" spans="1:37" ht="15" x14ac:dyDescent="0.25">
      <c r="A105" s="31" t="s">
        <v>104</v>
      </c>
      <c r="B105" s="2"/>
      <c r="C105" s="2" t="s">
        <v>105</v>
      </c>
      <c r="D105" s="3">
        <f t="shared" si="34"/>
        <v>1405.0600000000002</v>
      </c>
      <c r="E105" s="72">
        <f>I$6</f>
        <v>3.0906000000000002</v>
      </c>
      <c r="F105" s="4">
        <v>0</v>
      </c>
      <c r="G105" s="4">
        <f t="shared" si="37"/>
        <v>5.4092000000000002</v>
      </c>
      <c r="H105" s="73">
        <f t="shared" si="35"/>
        <v>8.4998000000000005</v>
      </c>
      <c r="I105" s="120">
        <f t="shared" si="38"/>
        <v>1.8456999999999999</v>
      </c>
      <c r="J105" s="72">
        <f t="shared" si="36"/>
        <v>0.37119999999999997</v>
      </c>
      <c r="K105" s="4">
        <v>0</v>
      </c>
      <c r="L105" s="4">
        <v>0</v>
      </c>
      <c r="M105" s="4">
        <v>0</v>
      </c>
      <c r="N105" s="4">
        <v>0</v>
      </c>
      <c r="O105" s="73">
        <f>SUM(J105:N105)</f>
        <v>0.37119999999999997</v>
      </c>
      <c r="AI105" s="32"/>
      <c r="AJ105" s="32"/>
      <c r="AK105" s="32"/>
    </row>
    <row r="106" spans="1:37" ht="15" x14ac:dyDescent="0.25">
      <c r="A106" s="31" t="s">
        <v>106</v>
      </c>
      <c r="B106" s="2"/>
      <c r="C106" s="2" t="s">
        <v>107</v>
      </c>
      <c r="D106" s="3">
        <f t="shared" si="34"/>
        <v>2125.06</v>
      </c>
      <c r="E106" s="72">
        <f>I$6</f>
        <v>3.0906000000000002</v>
      </c>
      <c r="F106" s="4">
        <v>0</v>
      </c>
      <c r="G106" s="4">
        <f t="shared" si="37"/>
        <v>5.4092000000000002</v>
      </c>
      <c r="H106" s="73">
        <f t="shared" si="35"/>
        <v>8.4998000000000005</v>
      </c>
      <c r="I106" s="120">
        <f t="shared" si="38"/>
        <v>1.8456999999999999</v>
      </c>
      <c r="J106" s="72">
        <f t="shared" si="36"/>
        <v>0.37119999999999997</v>
      </c>
      <c r="K106" s="4">
        <v>0</v>
      </c>
      <c r="L106" s="4">
        <v>0</v>
      </c>
      <c r="M106" s="4">
        <v>3.6</v>
      </c>
      <c r="N106" s="4">
        <v>0</v>
      </c>
      <c r="O106" s="73">
        <f>SUM(J106:N106)</f>
        <v>3.9712000000000001</v>
      </c>
      <c r="AI106" s="32"/>
      <c r="AJ106" s="32"/>
      <c r="AK106" s="32"/>
    </row>
    <row r="107" spans="1:37" ht="15" x14ac:dyDescent="0.25">
      <c r="A107" s="20" t="s">
        <v>108</v>
      </c>
      <c r="B107" s="14"/>
      <c r="C107" s="14" t="s">
        <v>219</v>
      </c>
      <c r="D107" s="15">
        <f t="shared" si="34"/>
        <v>2335.14</v>
      </c>
      <c r="E107" s="72">
        <f>I$6</f>
        <v>3.0906000000000002</v>
      </c>
      <c r="F107" s="4">
        <v>0</v>
      </c>
      <c r="G107" s="4">
        <f t="shared" si="37"/>
        <v>5.4092000000000002</v>
      </c>
      <c r="H107" s="73">
        <f t="shared" si="35"/>
        <v>8.4998000000000005</v>
      </c>
      <c r="I107" s="120">
        <f t="shared" si="38"/>
        <v>1.8456999999999999</v>
      </c>
      <c r="J107" s="72">
        <f t="shared" si="36"/>
        <v>0.37119999999999997</v>
      </c>
      <c r="K107" s="4">
        <v>0</v>
      </c>
      <c r="L107" s="4">
        <v>0</v>
      </c>
      <c r="M107" s="4">
        <v>3.6</v>
      </c>
      <c r="N107" s="4">
        <v>1.0504</v>
      </c>
      <c r="O107" s="73">
        <f t="shared" ref="O107:O115" si="39">SUM(J107:N107)</f>
        <v>5.0216000000000003</v>
      </c>
      <c r="AI107" s="32"/>
      <c r="AJ107" s="32"/>
      <c r="AK107" s="32"/>
    </row>
    <row r="108" spans="1:37" ht="15" x14ac:dyDescent="0.25">
      <c r="A108" s="20">
        <v>1772</v>
      </c>
      <c r="B108" s="14"/>
      <c r="C108" s="14" t="s">
        <v>220</v>
      </c>
      <c r="D108" s="15"/>
      <c r="E108" s="72"/>
      <c r="F108" s="4"/>
      <c r="G108" s="4"/>
      <c r="H108" s="73"/>
      <c r="I108" s="120"/>
      <c r="J108" s="72"/>
      <c r="K108" s="4"/>
      <c r="L108" s="4"/>
      <c r="M108" s="4"/>
      <c r="N108" s="4"/>
      <c r="O108" s="73"/>
      <c r="AI108" s="32"/>
      <c r="AJ108" s="32"/>
      <c r="AK108" s="32"/>
    </row>
    <row r="109" spans="1:37" ht="15" x14ac:dyDescent="0.25">
      <c r="A109" s="22"/>
      <c r="B109" s="16"/>
      <c r="C109" s="16" t="s">
        <v>361</v>
      </c>
      <c r="D109" s="17">
        <f t="shared" si="34"/>
        <v>2335.14</v>
      </c>
      <c r="E109" s="72">
        <f t="shared" ref="E109:E115" si="40">I$6</f>
        <v>3.0906000000000002</v>
      </c>
      <c r="F109" s="4">
        <v>0</v>
      </c>
      <c r="G109" s="4">
        <f t="shared" ref="G109:G110" si="41">4.839+0.5702</f>
        <v>5.4092000000000002</v>
      </c>
      <c r="H109" s="73">
        <f>SUM(E109+F109+G109)</f>
        <v>8.4998000000000005</v>
      </c>
      <c r="I109" s="120">
        <f>1.5606+0.2851</f>
        <v>1.8456999999999999</v>
      </c>
      <c r="J109" s="72">
        <f>O$8</f>
        <v>0.37119999999999997</v>
      </c>
      <c r="K109" s="4">
        <v>0</v>
      </c>
      <c r="L109" s="4">
        <v>0</v>
      </c>
      <c r="M109" s="4">
        <v>3.6</v>
      </c>
      <c r="N109" s="4">
        <v>1.0504</v>
      </c>
      <c r="O109" s="73">
        <f>SUM(J109:N109)</f>
        <v>5.0216000000000003</v>
      </c>
      <c r="AI109" s="32"/>
      <c r="AJ109" s="32"/>
      <c r="AK109" s="32"/>
    </row>
    <row r="110" spans="1:37" ht="15" x14ac:dyDescent="0.25">
      <c r="A110" s="31" t="s">
        <v>109</v>
      </c>
      <c r="B110" s="2"/>
      <c r="C110" s="2" t="s">
        <v>110</v>
      </c>
      <c r="D110" s="3">
        <f t="shared" si="34"/>
        <v>1773.82</v>
      </c>
      <c r="E110" s="72">
        <f t="shared" si="40"/>
        <v>3.0906000000000002</v>
      </c>
      <c r="F110" s="4">
        <v>0</v>
      </c>
      <c r="G110" s="4">
        <f t="shared" si="41"/>
        <v>5.4092000000000002</v>
      </c>
      <c r="H110" s="73">
        <f t="shared" si="35"/>
        <v>8.4998000000000005</v>
      </c>
      <c r="I110" s="120">
        <f>1.5606+0.2851</f>
        <v>1.8456999999999999</v>
      </c>
      <c r="J110" s="72">
        <f t="shared" si="36"/>
        <v>0.37119999999999997</v>
      </c>
      <c r="K110" s="4">
        <v>0</v>
      </c>
      <c r="L110" s="4">
        <v>0</v>
      </c>
      <c r="M110" s="4">
        <v>1.8438000000000001</v>
      </c>
      <c r="N110" s="4">
        <v>0</v>
      </c>
      <c r="O110" s="73">
        <f t="shared" si="39"/>
        <v>2.2149999999999999</v>
      </c>
    </row>
    <row r="111" spans="1:37" ht="15" x14ac:dyDescent="0.25">
      <c r="A111" s="31" t="s">
        <v>111</v>
      </c>
      <c r="B111" s="2"/>
      <c r="C111" s="2" t="s">
        <v>285</v>
      </c>
      <c r="D111" s="3">
        <f t="shared" si="34"/>
        <v>1060.6200000000001</v>
      </c>
      <c r="E111" s="72">
        <f t="shared" si="40"/>
        <v>3.0906000000000002</v>
      </c>
      <c r="F111" s="4">
        <v>0</v>
      </c>
      <c r="G111" s="4">
        <v>2.6977000000000002</v>
      </c>
      <c r="H111" s="73">
        <f t="shared" si="35"/>
        <v>5.7883000000000004</v>
      </c>
      <c r="I111" s="120">
        <v>1.3488</v>
      </c>
      <c r="J111" s="72">
        <f t="shared" si="36"/>
        <v>0.37119999999999997</v>
      </c>
      <c r="K111" s="4">
        <v>0</v>
      </c>
      <c r="L111" s="4">
        <f>0.4424+0.05</f>
        <v>0.4924</v>
      </c>
      <c r="M111" s="4">
        <v>0</v>
      </c>
      <c r="N111" s="4">
        <v>0</v>
      </c>
      <c r="O111" s="73">
        <f t="shared" si="39"/>
        <v>0.86359999999999992</v>
      </c>
      <c r="AI111" s="32"/>
      <c r="AJ111" s="32"/>
      <c r="AK111" s="32"/>
    </row>
    <row r="112" spans="1:37" ht="15" x14ac:dyDescent="0.25">
      <c r="A112" s="31" t="s">
        <v>112</v>
      </c>
      <c r="B112" s="2"/>
      <c r="C112" s="2" t="s">
        <v>286</v>
      </c>
      <c r="D112" s="3">
        <f t="shared" si="34"/>
        <v>1060.6200000000001</v>
      </c>
      <c r="E112" s="72">
        <f t="shared" si="40"/>
        <v>3.0906000000000002</v>
      </c>
      <c r="F112" s="4">
        <v>0</v>
      </c>
      <c r="G112" s="4">
        <v>2.6977000000000002</v>
      </c>
      <c r="H112" s="73">
        <f t="shared" si="35"/>
        <v>5.7883000000000004</v>
      </c>
      <c r="I112" s="120">
        <v>1.3488</v>
      </c>
      <c r="J112" s="72">
        <f t="shared" si="36"/>
        <v>0.37119999999999997</v>
      </c>
      <c r="K112" s="4">
        <v>0</v>
      </c>
      <c r="L112" s="4">
        <f>0.4424+0.05</f>
        <v>0.4924</v>
      </c>
      <c r="M112" s="4">
        <v>0</v>
      </c>
      <c r="N112" s="4">
        <v>0</v>
      </c>
      <c r="O112" s="73">
        <f t="shared" si="39"/>
        <v>0.86359999999999992</v>
      </c>
    </row>
    <row r="113" spans="1:37" ht="15" x14ac:dyDescent="0.25">
      <c r="A113" s="31" t="s">
        <v>113</v>
      </c>
      <c r="B113" s="2"/>
      <c r="C113" s="2" t="s">
        <v>287</v>
      </c>
      <c r="D113" s="3">
        <f t="shared" si="34"/>
        <v>1177.0000000000002</v>
      </c>
      <c r="E113" s="72">
        <f t="shared" si="40"/>
        <v>3.0906000000000002</v>
      </c>
      <c r="F113" s="4">
        <v>0</v>
      </c>
      <c r="G113" s="4">
        <v>3.2749999999999999</v>
      </c>
      <c r="H113" s="73">
        <f t="shared" si="35"/>
        <v>6.3656000000000006</v>
      </c>
      <c r="I113" s="120">
        <v>1.5606</v>
      </c>
      <c r="J113" s="72">
        <f t="shared" si="36"/>
        <v>0.37119999999999997</v>
      </c>
      <c r="K113" s="4">
        <v>0</v>
      </c>
      <c r="L113" s="4">
        <f>0.6588+0.05</f>
        <v>0.7088000000000001</v>
      </c>
      <c r="M113" s="4">
        <v>0</v>
      </c>
      <c r="N113" s="4">
        <v>0</v>
      </c>
      <c r="O113" s="73">
        <f t="shared" si="39"/>
        <v>1.08</v>
      </c>
      <c r="AI113" s="35"/>
      <c r="AJ113" s="35"/>
      <c r="AK113" s="35"/>
    </row>
    <row r="114" spans="1:37" ht="15" x14ac:dyDescent="0.25">
      <c r="A114" s="74" t="s">
        <v>114</v>
      </c>
      <c r="B114" s="2"/>
      <c r="C114" s="2" t="s">
        <v>288</v>
      </c>
      <c r="D114" s="3">
        <f t="shared" si="34"/>
        <v>1177.0000000000002</v>
      </c>
      <c r="E114" s="72">
        <f t="shared" si="40"/>
        <v>3.0906000000000002</v>
      </c>
      <c r="F114" s="4">
        <v>0</v>
      </c>
      <c r="G114" s="4">
        <v>3.2749999999999999</v>
      </c>
      <c r="H114" s="73">
        <f>SUM(E114+F114+G114)</f>
        <v>6.3656000000000006</v>
      </c>
      <c r="I114" s="120">
        <v>1.5606</v>
      </c>
      <c r="J114" s="72">
        <f t="shared" si="36"/>
        <v>0.37119999999999997</v>
      </c>
      <c r="K114" s="4">
        <v>0</v>
      </c>
      <c r="L114" s="4">
        <f t="shared" ref="L114:L115" si="42">0.6588+0.05</f>
        <v>0.7088000000000001</v>
      </c>
      <c r="M114" s="4">
        <v>0</v>
      </c>
      <c r="N114" s="4">
        <v>0</v>
      </c>
      <c r="O114" s="73">
        <f>SUM(J114:N114)</f>
        <v>1.08</v>
      </c>
      <c r="P114" s="117"/>
      <c r="AI114" s="35"/>
      <c r="AJ114" s="35"/>
      <c r="AK114" s="35"/>
    </row>
    <row r="115" spans="1:37" ht="15" x14ac:dyDescent="0.25">
      <c r="A115" s="31" t="s">
        <v>115</v>
      </c>
      <c r="B115" s="2"/>
      <c r="C115" s="2" t="s">
        <v>289</v>
      </c>
      <c r="D115" s="3">
        <f t="shared" si="34"/>
        <v>1177.0000000000002</v>
      </c>
      <c r="E115" s="72">
        <f t="shared" si="40"/>
        <v>3.0906000000000002</v>
      </c>
      <c r="F115" s="4">
        <v>0</v>
      </c>
      <c r="G115" s="4">
        <v>3.2749999999999999</v>
      </c>
      <c r="H115" s="73">
        <f t="shared" si="35"/>
        <v>6.3656000000000006</v>
      </c>
      <c r="I115" s="120">
        <v>1.5606</v>
      </c>
      <c r="J115" s="72">
        <f t="shared" si="36"/>
        <v>0.37119999999999997</v>
      </c>
      <c r="K115" s="4">
        <v>0</v>
      </c>
      <c r="L115" s="4">
        <f t="shared" si="42"/>
        <v>0.7088000000000001</v>
      </c>
      <c r="M115" s="4">
        <v>0</v>
      </c>
      <c r="N115" s="4">
        <v>0</v>
      </c>
      <c r="O115" s="73">
        <f t="shared" si="39"/>
        <v>1.08</v>
      </c>
      <c r="AI115" s="35"/>
      <c r="AJ115" s="35"/>
      <c r="AK115" s="35"/>
    </row>
    <row r="116" spans="1:37" ht="15" customHeight="1" x14ac:dyDescent="0.25">
      <c r="A116" s="93" t="s">
        <v>116</v>
      </c>
      <c r="B116" s="14"/>
      <c r="C116" s="14" t="s">
        <v>127</v>
      </c>
      <c r="D116" s="15"/>
      <c r="E116" s="72" t="s">
        <v>0</v>
      </c>
      <c r="F116" s="4"/>
      <c r="G116" s="4"/>
      <c r="H116" s="73"/>
      <c r="I116" s="120" t="s">
        <v>0</v>
      </c>
      <c r="J116" s="72" t="s">
        <v>0</v>
      </c>
      <c r="K116" s="4"/>
      <c r="L116" s="4" t="s">
        <v>0</v>
      </c>
      <c r="M116" s="4"/>
      <c r="N116" s="4"/>
      <c r="O116" s="73"/>
      <c r="AI116" s="35"/>
      <c r="AJ116" s="35"/>
      <c r="AK116" s="35"/>
    </row>
    <row r="117" spans="1:37" ht="15" customHeight="1" x14ac:dyDescent="0.25">
      <c r="A117" s="22"/>
      <c r="B117" s="16"/>
      <c r="C117" s="16" t="s">
        <v>290</v>
      </c>
      <c r="D117" s="17">
        <f>(H117+O117-I117)*200</f>
        <v>1785.4800000000005</v>
      </c>
      <c r="E117" s="72">
        <f>I$6</f>
        <v>3.0906000000000002</v>
      </c>
      <c r="F117" s="4">
        <v>0</v>
      </c>
      <c r="G117" s="4">
        <v>3.2749999999999999</v>
      </c>
      <c r="H117" s="73">
        <f>SUM(E117+F117+G117)</f>
        <v>6.3656000000000006</v>
      </c>
      <c r="I117" s="120">
        <v>1.5606</v>
      </c>
      <c r="J117" s="72">
        <f>O$8</f>
        <v>0.37119999999999997</v>
      </c>
      <c r="K117" s="4">
        <v>0</v>
      </c>
      <c r="L117" s="4">
        <f>0.6588+0.05</f>
        <v>0.7088000000000001</v>
      </c>
      <c r="M117" s="4">
        <f>3+0.0424</f>
        <v>3.0424000000000002</v>
      </c>
      <c r="N117" s="4">
        <v>0</v>
      </c>
      <c r="O117" s="73">
        <f>SUM(J117:N117)</f>
        <v>4.1224000000000007</v>
      </c>
      <c r="AI117" s="35"/>
      <c r="AJ117" s="35"/>
      <c r="AK117" s="35"/>
    </row>
    <row r="118" spans="1:37" ht="13.5" customHeight="1" x14ac:dyDescent="0.25">
      <c r="A118" s="93" t="s">
        <v>117</v>
      </c>
      <c r="B118" s="14"/>
      <c r="C118" s="14" t="s">
        <v>127</v>
      </c>
      <c r="D118" s="15"/>
      <c r="E118" s="72"/>
      <c r="F118" s="4"/>
      <c r="G118" s="4"/>
      <c r="H118" s="73"/>
      <c r="I118" s="120" t="s">
        <v>0</v>
      </c>
      <c r="J118" s="72"/>
      <c r="K118" s="4"/>
      <c r="L118" s="4"/>
      <c r="M118" s="4"/>
      <c r="N118" s="4"/>
      <c r="O118" s="73"/>
      <c r="P118" s="117"/>
      <c r="AI118" s="35"/>
      <c r="AJ118" s="35"/>
      <c r="AK118" s="35"/>
    </row>
    <row r="119" spans="1:37" ht="13.5" customHeight="1" x14ac:dyDescent="0.25">
      <c r="A119" s="22"/>
      <c r="B119" s="16"/>
      <c r="C119" s="16" t="s">
        <v>291</v>
      </c>
      <c r="D119" s="17">
        <f>(H119+O119-I119)*200</f>
        <v>2319.48</v>
      </c>
      <c r="E119" s="72">
        <f>I$6</f>
        <v>3.0906000000000002</v>
      </c>
      <c r="F119" s="4">
        <v>0</v>
      </c>
      <c r="G119" s="4">
        <v>3.2749999999999999</v>
      </c>
      <c r="H119" s="73">
        <f t="shared" ref="H119:H133" si="43">SUM(E119+F119+G119)</f>
        <v>6.3656000000000006</v>
      </c>
      <c r="I119" s="120">
        <v>1.5606</v>
      </c>
      <c r="J119" s="72">
        <f t="shared" ref="J119:J133" si="44">O$8</f>
        <v>0.37119999999999997</v>
      </c>
      <c r="K119" s="4">
        <v>0</v>
      </c>
      <c r="L119" s="4">
        <f>0.6588+0.05</f>
        <v>0.7088000000000001</v>
      </c>
      <c r="M119" s="4">
        <f>3+0.0424</f>
        <v>3.0424000000000002</v>
      </c>
      <c r="N119" s="4">
        <f>0.26+2.41</f>
        <v>2.67</v>
      </c>
      <c r="O119" s="73">
        <f>SUM(J119:N119)</f>
        <v>6.7924000000000007</v>
      </c>
      <c r="AI119" s="35"/>
      <c r="AJ119" s="35"/>
      <c r="AK119" s="35"/>
    </row>
    <row r="120" spans="1:37" ht="13.5" customHeight="1" x14ac:dyDescent="0.25">
      <c r="A120" s="93" t="s">
        <v>224</v>
      </c>
      <c r="B120" s="14"/>
      <c r="C120" s="14" t="s">
        <v>127</v>
      </c>
      <c r="D120" s="15"/>
      <c r="E120" s="72"/>
      <c r="F120" s="4"/>
      <c r="G120" s="4"/>
      <c r="H120" s="73"/>
      <c r="I120" s="120" t="s">
        <v>0</v>
      </c>
      <c r="J120" s="72"/>
      <c r="K120" s="4"/>
      <c r="L120" s="4"/>
      <c r="M120" s="4"/>
      <c r="N120" s="4"/>
      <c r="O120" s="73"/>
      <c r="AI120" s="35"/>
      <c r="AJ120" s="35"/>
      <c r="AK120" s="35"/>
    </row>
    <row r="121" spans="1:37" ht="13.5" customHeight="1" x14ac:dyDescent="0.25">
      <c r="A121" s="22"/>
      <c r="B121" s="16"/>
      <c r="C121" s="16" t="s">
        <v>292</v>
      </c>
      <c r="D121" s="17">
        <f t="shared" ref="D121:D128" si="45">(H121+O121-I121)*200</f>
        <v>1785.4800000000005</v>
      </c>
      <c r="E121" s="72">
        <f t="shared" ref="E121:E133" si="46">I$6</f>
        <v>3.0906000000000002</v>
      </c>
      <c r="F121" s="4">
        <v>0</v>
      </c>
      <c r="G121" s="4">
        <v>3.2749999999999999</v>
      </c>
      <c r="H121" s="73">
        <f>SUM(E121+F121+G121)</f>
        <v>6.3656000000000006</v>
      </c>
      <c r="I121" s="120">
        <v>1.5606</v>
      </c>
      <c r="J121" s="72">
        <f>O$8</f>
        <v>0.37119999999999997</v>
      </c>
      <c r="K121" s="4">
        <v>0</v>
      </c>
      <c r="L121" s="4">
        <f t="shared" ref="L121:L129" si="47">0.6588+0.05</f>
        <v>0.7088000000000001</v>
      </c>
      <c r="M121" s="4">
        <f>3+0.0424</f>
        <v>3.0424000000000002</v>
      </c>
      <c r="N121" s="4">
        <v>0</v>
      </c>
      <c r="O121" s="73">
        <f t="shared" ref="O121:O129" si="48">SUM(J121:N121)</f>
        <v>4.1224000000000007</v>
      </c>
      <c r="AI121" s="35"/>
      <c r="AJ121" s="35"/>
      <c r="AK121" s="35"/>
    </row>
    <row r="122" spans="1:37" ht="13.5" customHeight="1" x14ac:dyDescent="0.25">
      <c r="A122" s="19" t="s">
        <v>232</v>
      </c>
      <c r="B122" s="16"/>
      <c r="C122" s="16" t="s">
        <v>293</v>
      </c>
      <c r="D122" s="3">
        <f t="shared" si="45"/>
        <v>1177.0000000000002</v>
      </c>
      <c r="E122" s="72">
        <f t="shared" si="46"/>
        <v>3.0906000000000002</v>
      </c>
      <c r="F122" s="4">
        <v>0</v>
      </c>
      <c r="G122" s="4">
        <v>3.2749999999999999</v>
      </c>
      <c r="H122" s="73">
        <f>SUM(E122+F122+G122)</f>
        <v>6.3656000000000006</v>
      </c>
      <c r="I122" s="120">
        <v>1.5606</v>
      </c>
      <c r="J122" s="72">
        <f>O$8</f>
        <v>0.37119999999999997</v>
      </c>
      <c r="K122" s="4">
        <v>0</v>
      </c>
      <c r="L122" s="4">
        <f t="shared" si="47"/>
        <v>0.7088000000000001</v>
      </c>
      <c r="M122" s="4">
        <v>0</v>
      </c>
      <c r="N122" s="4">
        <v>0</v>
      </c>
      <c r="O122" s="73">
        <f>SUM(J122:N122)</f>
        <v>1.08</v>
      </c>
      <c r="AI122" s="35"/>
      <c r="AJ122" s="35"/>
      <c r="AK122" s="35"/>
    </row>
    <row r="123" spans="1:37" ht="13.5" customHeight="1" x14ac:dyDescent="0.25">
      <c r="A123" s="19" t="s">
        <v>355</v>
      </c>
      <c r="B123" s="16"/>
      <c r="C123" s="16" t="s">
        <v>356</v>
      </c>
      <c r="D123" s="3">
        <f t="shared" ref="D123" si="49">(H123+O123-I123)*200</f>
        <v>1959.44</v>
      </c>
      <c r="E123" s="72">
        <f t="shared" ref="E123" si="50">I$6</f>
        <v>3.0906000000000002</v>
      </c>
      <c r="F123" s="4">
        <v>0</v>
      </c>
      <c r="G123" s="4">
        <v>3.2749999999999999</v>
      </c>
      <c r="H123" s="73">
        <f>SUM(E123+F123+G123)</f>
        <v>6.3656000000000006</v>
      </c>
      <c r="I123" s="120">
        <v>1.5606</v>
      </c>
      <c r="J123" s="72">
        <f>O$8</f>
        <v>0.37119999999999997</v>
      </c>
      <c r="K123" s="4">
        <v>0</v>
      </c>
      <c r="L123" s="4">
        <f t="shared" si="47"/>
        <v>0.7088000000000001</v>
      </c>
      <c r="M123" s="4">
        <f>3.58+0.3322</f>
        <v>3.9121999999999999</v>
      </c>
      <c r="N123" s="4">
        <v>0</v>
      </c>
      <c r="O123" s="73">
        <f>SUM(J123:N123)</f>
        <v>4.9922000000000004</v>
      </c>
      <c r="AI123" s="35"/>
      <c r="AJ123" s="35"/>
      <c r="AK123" s="35"/>
    </row>
    <row r="124" spans="1:37" ht="15" x14ac:dyDescent="0.25">
      <c r="A124" s="93" t="s">
        <v>118</v>
      </c>
      <c r="B124" s="16"/>
      <c r="C124" s="2" t="s">
        <v>294</v>
      </c>
      <c r="D124" s="3">
        <f t="shared" si="45"/>
        <v>1785.4800000000005</v>
      </c>
      <c r="E124" s="72">
        <f t="shared" si="46"/>
        <v>3.0906000000000002</v>
      </c>
      <c r="F124" s="4">
        <v>0</v>
      </c>
      <c r="G124" s="4">
        <v>3.2749999999999999</v>
      </c>
      <c r="H124" s="73">
        <f t="shared" si="43"/>
        <v>6.3656000000000006</v>
      </c>
      <c r="I124" s="120">
        <v>1.5606</v>
      </c>
      <c r="J124" s="72">
        <f t="shared" si="44"/>
        <v>0.37119999999999997</v>
      </c>
      <c r="K124" s="4">
        <v>0</v>
      </c>
      <c r="L124" s="4">
        <f t="shared" si="47"/>
        <v>0.7088000000000001</v>
      </c>
      <c r="M124" s="4">
        <f>3+0.0424</f>
        <v>3.0424000000000002</v>
      </c>
      <c r="N124" s="4">
        <v>0</v>
      </c>
      <c r="O124" s="73">
        <f t="shared" si="48"/>
        <v>4.1224000000000007</v>
      </c>
      <c r="AI124" s="35"/>
      <c r="AJ124" s="35"/>
      <c r="AK124" s="35"/>
    </row>
    <row r="125" spans="1:37" ht="15" x14ac:dyDescent="0.25">
      <c r="A125" s="93" t="s">
        <v>119</v>
      </c>
      <c r="B125" s="16"/>
      <c r="C125" s="2" t="s">
        <v>295</v>
      </c>
      <c r="D125" s="3">
        <f t="shared" si="45"/>
        <v>1177.0000000000002</v>
      </c>
      <c r="E125" s="72">
        <f t="shared" si="46"/>
        <v>3.0906000000000002</v>
      </c>
      <c r="F125" s="4">
        <v>0</v>
      </c>
      <c r="G125" s="4">
        <v>3.2749999999999999</v>
      </c>
      <c r="H125" s="73">
        <f t="shared" si="43"/>
        <v>6.3656000000000006</v>
      </c>
      <c r="I125" s="120">
        <v>1.5606</v>
      </c>
      <c r="J125" s="72">
        <f t="shared" si="44"/>
        <v>0.37119999999999997</v>
      </c>
      <c r="K125" s="4">
        <v>0</v>
      </c>
      <c r="L125" s="4">
        <f t="shared" si="47"/>
        <v>0.7088000000000001</v>
      </c>
      <c r="M125" s="4">
        <v>0</v>
      </c>
      <c r="N125" s="4">
        <v>0</v>
      </c>
      <c r="O125" s="73">
        <f t="shared" si="48"/>
        <v>1.08</v>
      </c>
      <c r="AI125" s="35"/>
      <c r="AJ125" s="35"/>
      <c r="AK125" s="35"/>
    </row>
    <row r="126" spans="1:37" ht="15" x14ac:dyDescent="0.25">
      <c r="A126" s="93" t="s">
        <v>120</v>
      </c>
      <c r="B126" s="16"/>
      <c r="C126" s="2" t="s">
        <v>296</v>
      </c>
      <c r="D126" s="3">
        <f t="shared" si="45"/>
        <v>1785.4800000000005</v>
      </c>
      <c r="E126" s="72">
        <f t="shared" si="46"/>
        <v>3.0906000000000002</v>
      </c>
      <c r="F126" s="4">
        <v>0</v>
      </c>
      <c r="G126" s="4">
        <v>3.2749999999999999</v>
      </c>
      <c r="H126" s="73">
        <f t="shared" si="43"/>
        <v>6.3656000000000006</v>
      </c>
      <c r="I126" s="120">
        <v>1.5606</v>
      </c>
      <c r="J126" s="72">
        <f t="shared" si="44"/>
        <v>0.37119999999999997</v>
      </c>
      <c r="K126" s="4">
        <v>0</v>
      </c>
      <c r="L126" s="4">
        <f t="shared" si="47"/>
        <v>0.7088000000000001</v>
      </c>
      <c r="M126" s="4">
        <f t="shared" ref="M126:M129" si="51">3+0.0424</f>
        <v>3.0424000000000002</v>
      </c>
      <c r="N126" s="4">
        <v>0</v>
      </c>
      <c r="O126" s="73">
        <f t="shared" si="48"/>
        <v>4.1224000000000007</v>
      </c>
      <c r="AI126" s="35"/>
      <c r="AJ126" s="35"/>
      <c r="AK126" s="35"/>
    </row>
    <row r="127" spans="1:37" ht="15" x14ac:dyDescent="0.25">
      <c r="A127" s="93" t="s">
        <v>121</v>
      </c>
      <c r="B127" s="16"/>
      <c r="C127" s="2" t="s">
        <v>297</v>
      </c>
      <c r="D127" s="3">
        <f t="shared" si="45"/>
        <v>3885.4799999999996</v>
      </c>
      <c r="E127" s="72">
        <f t="shared" si="46"/>
        <v>3.0906000000000002</v>
      </c>
      <c r="F127" s="4">
        <v>0</v>
      </c>
      <c r="G127" s="4">
        <v>3.2749999999999999</v>
      </c>
      <c r="H127" s="73">
        <f>SUM(E127+F127+G127)</f>
        <v>6.3656000000000006</v>
      </c>
      <c r="I127" s="120">
        <v>1.5606</v>
      </c>
      <c r="J127" s="72">
        <f>O$8</f>
        <v>0.37119999999999997</v>
      </c>
      <c r="K127" s="4">
        <v>0</v>
      </c>
      <c r="L127" s="4">
        <f t="shared" si="47"/>
        <v>0.7088000000000001</v>
      </c>
      <c r="M127" s="4">
        <f t="shared" si="51"/>
        <v>3.0424000000000002</v>
      </c>
      <c r="N127" s="4">
        <f>0.3+10.2</f>
        <v>10.5</v>
      </c>
      <c r="O127" s="73">
        <f t="shared" si="48"/>
        <v>14.622400000000001</v>
      </c>
      <c r="AI127" s="35"/>
      <c r="AJ127" s="35"/>
      <c r="AK127" s="35"/>
    </row>
    <row r="128" spans="1:37" ht="15" x14ac:dyDescent="0.25">
      <c r="A128" s="93" t="s">
        <v>122</v>
      </c>
      <c r="B128" s="16"/>
      <c r="C128" s="2" t="s">
        <v>298</v>
      </c>
      <c r="D128" s="3">
        <f t="shared" si="45"/>
        <v>1785.4800000000005</v>
      </c>
      <c r="E128" s="72">
        <f t="shared" si="46"/>
        <v>3.0906000000000002</v>
      </c>
      <c r="F128" s="4">
        <v>0</v>
      </c>
      <c r="G128" s="4">
        <v>3.2749999999999999</v>
      </c>
      <c r="H128" s="73">
        <f>SUM(E128+F128+G128)</f>
        <v>6.3656000000000006</v>
      </c>
      <c r="I128" s="120">
        <v>1.5606</v>
      </c>
      <c r="J128" s="72">
        <f>O$8</f>
        <v>0.37119999999999997</v>
      </c>
      <c r="K128" s="4">
        <v>0</v>
      </c>
      <c r="L128" s="4">
        <f t="shared" si="47"/>
        <v>0.7088000000000001</v>
      </c>
      <c r="M128" s="4">
        <f t="shared" si="51"/>
        <v>3.0424000000000002</v>
      </c>
      <c r="N128" s="4">
        <v>0</v>
      </c>
      <c r="O128" s="73">
        <f t="shared" si="48"/>
        <v>4.1224000000000007</v>
      </c>
      <c r="AI128" s="35"/>
      <c r="AJ128" s="35"/>
      <c r="AK128" s="35"/>
    </row>
    <row r="129" spans="1:37" ht="15" x14ac:dyDescent="0.25">
      <c r="A129" s="93">
        <v>2288</v>
      </c>
      <c r="B129" s="16"/>
      <c r="C129" s="2" t="s">
        <v>344</v>
      </c>
      <c r="D129" s="3"/>
      <c r="E129" s="72">
        <f>I$6</f>
        <v>3.0906000000000002</v>
      </c>
      <c r="F129" s="4">
        <v>0</v>
      </c>
      <c r="G129" s="4">
        <v>3.2749999999999999</v>
      </c>
      <c r="H129" s="73">
        <f>SUM(E129+F129+G129)</f>
        <v>6.3656000000000006</v>
      </c>
      <c r="I129" s="120">
        <v>1.5606</v>
      </c>
      <c r="J129" s="72">
        <f>O$8</f>
        <v>0.37119999999999997</v>
      </c>
      <c r="K129" s="4">
        <v>0</v>
      </c>
      <c r="L129" s="4">
        <f t="shared" si="47"/>
        <v>0.7088000000000001</v>
      </c>
      <c r="M129" s="4">
        <f t="shared" si="51"/>
        <v>3.0424000000000002</v>
      </c>
      <c r="N129" s="4">
        <v>0</v>
      </c>
      <c r="O129" s="73">
        <f t="shared" si="48"/>
        <v>4.1224000000000007</v>
      </c>
      <c r="AI129" s="35"/>
      <c r="AJ129" s="35"/>
      <c r="AK129" s="35"/>
    </row>
    <row r="130" spans="1:37" ht="15" x14ac:dyDescent="0.25">
      <c r="A130" s="93">
        <v>2289</v>
      </c>
      <c r="B130" s="14"/>
      <c r="C130" s="14" t="s">
        <v>345</v>
      </c>
      <c r="D130" s="15"/>
      <c r="E130" s="72"/>
      <c r="F130" s="4"/>
      <c r="G130" s="4"/>
      <c r="H130" s="73"/>
      <c r="I130" s="120"/>
      <c r="J130" s="72"/>
      <c r="K130" s="4"/>
      <c r="L130" s="4"/>
      <c r="M130" s="4"/>
      <c r="N130" s="4"/>
      <c r="O130" s="73"/>
      <c r="AI130" s="35"/>
      <c r="AJ130" s="35"/>
      <c r="AK130" s="35"/>
    </row>
    <row r="131" spans="1:37" ht="15" x14ac:dyDescent="0.25">
      <c r="A131" s="19"/>
      <c r="B131" s="16"/>
      <c r="C131" s="16" t="s">
        <v>346</v>
      </c>
      <c r="D131" s="17"/>
      <c r="E131" s="72">
        <f>I$6</f>
        <v>3.0906000000000002</v>
      </c>
      <c r="F131" s="4">
        <v>0</v>
      </c>
      <c r="G131" s="4">
        <v>3.2749999999999999</v>
      </c>
      <c r="H131" s="73">
        <f>SUM(E131+F131+G131)</f>
        <v>6.3656000000000006</v>
      </c>
      <c r="I131" s="120">
        <v>1.5606</v>
      </c>
      <c r="J131" s="72">
        <f>O$8</f>
        <v>0.37119999999999997</v>
      </c>
      <c r="K131" s="4">
        <v>0</v>
      </c>
      <c r="L131" s="4">
        <f t="shared" ref="L131:L133" si="52">0.6588+0.05</f>
        <v>0.7088000000000001</v>
      </c>
      <c r="M131" s="4">
        <f t="shared" ref="M131:M133" si="53">3+0.0424</f>
        <v>3.0424000000000002</v>
      </c>
      <c r="N131" s="4">
        <v>0</v>
      </c>
      <c r="O131" s="73">
        <f>SUM(J131:N131)</f>
        <v>4.1224000000000007</v>
      </c>
      <c r="AI131" s="35"/>
      <c r="AJ131" s="35"/>
      <c r="AK131" s="35"/>
    </row>
    <row r="132" spans="1:37" ht="15" x14ac:dyDescent="0.25">
      <c r="A132" s="104">
        <v>2290</v>
      </c>
      <c r="B132" s="2"/>
      <c r="C132" s="2" t="s">
        <v>299</v>
      </c>
      <c r="D132" s="3">
        <f>(H132+O132-I132)*200</f>
        <v>1785.4800000000005</v>
      </c>
      <c r="E132" s="72">
        <f t="shared" si="46"/>
        <v>3.0906000000000002</v>
      </c>
      <c r="F132" s="4">
        <v>0</v>
      </c>
      <c r="G132" s="4">
        <v>3.2749999999999999</v>
      </c>
      <c r="H132" s="73">
        <f t="shared" si="43"/>
        <v>6.3656000000000006</v>
      </c>
      <c r="I132" s="120">
        <v>1.5606</v>
      </c>
      <c r="J132" s="72">
        <f t="shared" si="44"/>
        <v>0.37119999999999997</v>
      </c>
      <c r="K132" s="4">
        <v>0</v>
      </c>
      <c r="L132" s="4">
        <f t="shared" si="52"/>
        <v>0.7088000000000001</v>
      </c>
      <c r="M132" s="4">
        <f t="shared" si="53"/>
        <v>3.0424000000000002</v>
      </c>
      <c r="N132" s="4">
        <v>0</v>
      </c>
      <c r="O132" s="73">
        <f>SUM(J132:N132)</f>
        <v>4.1224000000000007</v>
      </c>
      <c r="AI132" s="35"/>
      <c r="AJ132" s="35"/>
      <c r="AK132" s="35"/>
    </row>
    <row r="133" spans="1:37" ht="15" x14ac:dyDescent="0.25">
      <c r="A133" s="31" t="s">
        <v>123</v>
      </c>
      <c r="B133" s="2"/>
      <c r="C133" s="2" t="s">
        <v>300</v>
      </c>
      <c r="D133" s="3">
        <f>(H133+O133-I133)*200</f>
        <v>1785.4800000000005</v>
      </c>
      <c r="E133" s="72">
        <f t="shared" si="46"/>
        <v>3.0906000000000002</v>
      </c>
      <c r="F133" s="4">
        <v>0</v>
      </c>
      <c r="G133" s="4">
        <v>3.2749999999999999</v>
      </c>
      <c r="H133" s="73">
        <f t="shared" si="43"/>
        <v>6.3656000000000006</v>
      </c>
      <c r="I133" s="120">
        <v>1.5606</v>
      </c>
      <c r="J133" s="72">
        <f t="shared" si="44"/>
        <v>0.37119999999999997</v>
      </c>
      <c r="K133" s="4">
        <v>0</v>
      </c>
      <c r="L133" s="4">
        <f t="shared" si="52"/>
        <v>0.7088000000000001</v>
      </c>
      <c r="M133" s="4">
        <f t="shared" si="53"/>
        <v>3.0424000000000002</v>
      </c>
      <c r="N133" s="4">
        <v>0</v>
      </c>
      <c r="O133" s="73">
        <f>SUM(J133:N133)</f>
        <v>4.1224000000000007</v>
      </c>
      <c r="AI133" s="32"/>
      <c r="AJ133" s="32"/>
      <c r="AK133" s="32"/>
    </row>
    <row r="134" spans="1:37" ht="13.5" customHeight="1" x14ac:dyDescent="0.25">
      <c r="A134" s="93" t="s">
        <v>124</v>
      </c>
      <c r="B134" s="14"/>
      <c r="C134" s="14" t="s">
        <v>125</v>
      </c>
      <c r="D134" s="15"/>
      <c r="E134" s="72" t="s">
        <v>0</v>
      </c>
      <c r="F134" s="4"/>
      <c r="G134" s="4"/>
      <c r="H134" s="73"/>
      <c r="I134" s="120" t="s">
        <v>0</v>
      </c>
      <c r="J134" s="72" t="s">
        <v>0</v>
      </c>
      <c r="K134" s="4"/>
      <c r="L134" s="4" t="s">
        <v>0</v>
      </c>
      <c r="M134" s="4"/>
      <c r="N134" s="4"/>
      <c r="O134" s="73"/>
      <c r="AI134" s="32"/>
      <c r="AJ134" s="32"/>
      <c r="AK134" s="32"/>
    </row>
    <row r="135" spans="1:37" ht="13.5" customHeight="1" x14ac:dyDescent="0.25">
      <c r="A135" s="75"/>
      <c r="B135" s="16"/>
      <c r="C135" s="16" t="s">
        <v>301</v>
      </c>
      <c r="D135" s="17">
        <f>(H135+O135-I135)*200</f>
        <v>2121.4800000000005</v>
      </c>
      <c r="E135" s="72">
        <f>I$6</f>
        <v>3.0906000000000002</v>
      </c>
      <c r="F135" s="4">
        <v>0</v>
      </c>
      <c r="G135" s="4">
        <v>3.2749999999999999</v>
      </c>
      <c r="H135" s="73">
        <f>SUM(E135+F135+G135)</f>
        <v>6.3656000000000006</v>
      </c>
      <c r="I135" s="120">
        <v>1.5606</v>
      </c>
      <c r="J135" s="72">
        <f>O$8</f>
        <v>0.37119999999999997</v>
      </c>
      <c r="K135" s="4">
        <v>0</v>
      </c>
      <c r="L135" s="4">
        <f>0.6588+0.05</f>
        <v>0.7088000000000001</v>
      </c>
      <c r="M135" s="4">
        <f>3+0.0424</f>
        <v>3.0424000000000002</v>
      </c>
      <c r="N135" s="4">
        <f>0.3+1.38</f>
        <v>1.68</v>
      </c>
      <c r="O135" s="73">
        <f>SUM(J135:N135)</f>
        <v>5.8024000000000004</v>
      </c>
      <c r="AI135" s="32"/>
      <c r="AJ135" s="32"/>
      <c r="AK135" s="32"/>
    </row>
    <row r="136" spans="1:37" ht="14.25" customHeight="1" x14ac:dyDescent="0.25">
      <c r="A136" s="93" t="s">
        <v>126</v>
      </c>
      <c r="B136" s="14"/>
      <c r="C136" s="14" t="s">
        <v>127</v>
      </c>
      <c r="D136" s="15"/>
      <c r="E136" s="72" t="s">
        <v>0</v>
      </c>
      <c r="F136" s="4"/>
      <c r="G136" s="4"/>
      <c r="H136" s="73"/>
      <c r="I136" s="120" t="s">
        <v>0</v>
      </c>
      <c r="J136" s="72" t="s">
        <v>0</v>
      </c>
      <c r="K136" s="4"/>
      <c r="L136" s="4" t="s">
        <v>0</v>
      </c>
      <c r="M136" s="4"/>
      <c r="N136" s="4"/>
      <c r="O136" s="73"/>
      <c r="AI136" s="32"/>
      <c r="AJ136" s="32"/>
      <c r="AK136" s="32"/>
    </row>
    <row r="137" spans="1:37" ht="12.75" customHeight="1" x14ac:dyDescent="0.25">
      <c r="A137" s="75"/>
      <c r="B137" s="16"/>
      <c r="C137" s="16" t="s">
        <v>302</v>
      </c>
      <c r="D137" s="17">
        <f>(H137+O137-I137)*200</f>
        <v>2113.4800000000005</v>
      </c>
      <c r="E137" s="72">
        <f>I$6</f>
        <v>3.0906000000000002</v>
      </c>
      <c r="F137" s="4">
        <v>0</v>
      </c>
      <c r="G137" s="4">
        <v>3.2749999999999999</v>
      </c>
      <c r="H137" s="73">
        <f>SUM(E137+F137+G137)</f>
        <v>6.3656000000000006</v>
      </c>
      <c r="I137" s="120">
        <v>1.5606</v>
      </c>
      <c r="J137" s="72">
        <f>O$8</f>
        <v>0.37119999999999997</v>
      </c>
      <c r="K137" s="4">
        <v>0</v>
      </c>
      <c r="L137" s="4">
        <f>0.6588+0.05</f>
        <v>0.7088000000000001</v>
      </c>
      <c r="M137" s="4">
        <f>3+0.0424</f>
        <v>3.0424000000000002</v>
      </c>
      <c r="N137" s="4">
        <f>0.3+1.34</f>
        <v>1.6400000000000001</v>
      </c>
      <c r="O137" s="73">
        <f>SUM(J137:N137)</f>
        <v>5.7624000000000013</v>
      </c>
      <c r="AI137" s="32"/>
      <c r="AJ137" s="32"/>
      <c r="AK137" s="32"/>
    </row>
    <row r="138" spans="1:37" ht="14.25" customHeight="1" x14ac:dyDescent="0.25">
      <c r="A138" s="93" t="s">
        <v>128</v>
      </c>
      <c r="B138" s="14"/>
      <c r="C138" s="14" t="s">
        <v>127</v>
      </c>
      <c r="D138" s="15"/>
      <c r="E138" s="72" t="s">
        <v>0</v>
      </c>
      <c r="F138" s="4"/>
      <c r="G138" s="4"/>
      <c r="H138" s="73"/>
      <c r="I138" s="120" t="s">
        <v>0</v>
      </c>
      <c r="J138" s="72" t="s">
        <v>0</v>
      </c>
      <c r="K138" s="4"/>
      <c r="L138" s="4" t="s">
        <v>0</v>
      </c>
      <c r="M138" s="4"/>
      <c r="N138" s="4"/>
      <c r="O138" s="73"/>
      <c r="AI138" s="32"/>
      <c r="AJ138" s="32"/>
      <c r="AK138" s="32"/>
    </row>
    <row r="139" spans="1:37" ht="13.5" customHeight="1" x14ac:dyDescent="0.25">
      <c r="A139" s="75"/>
      <c r="B139" s="16"/>
      <c r="C139" s="16" t="s">
        <v>303</v>
      </c>
      <c r="D139" s="17">
        <f>(H139+O139-I139)*200</f>
        <v>1785.4800000000005</v>
      </c>
      <c r="E139" s="72">
        <f t="shared" ref="E139:E146" si="54">I$6</f>
        <v>3.0906000000000002</v>
      </c>
      <c r="F139" s="4">
        <v>0</v>
      </c>
      <c r="G139" s="4">
        <v>3.2749999999999999</v>
      </c>
      <c r="H139" s="73">
        <f>SUM(E139+F139+G139)</f>
        <v>6.3656000000000006</v>
      </c>
      <c r="I139" s="120">
        <v>1.5606</v>
      </c>
      <c r="J139" s="72">
        <f>O$8</f>
        <v>0.37119999999999997</v>
      </c>
      <c r="K139" s="4">
        <v>0</v>
      </c>
      <c r="L139" s="4">
        <f>0.6588+0.05</f>
        <v>0.7088000000000001</v>
      </c>
      <c r="M139" s="4">
        <f>3+0.0424</f>
        <v>3.0424000000000002</v>
      </c>
      <c r="N139" s="4">
        <v>0</v>
      </c>
      <c r="O139" s="73">
        <f>SUM(J139:N139)</f>
        <v>4.1224000000000007</v>
      </c>
      <c r="AI139" s="32"/>
      <c r="AJ139" s="32"/>
      <c r="AK139" s="32"/>
    </row>
    <row r="140" spans="1:37" ht="15" x14ac:dyDescent="0.25">
      <c r="A140" s="22" t="s">
        <v>129</v>
      </c>
      <c r="B140" s="16"/>
      <c r="C140" s="16" t="s">
        <v>130</v>
      </c>
      <c r="D140" s="3">
        <f t="shared" ref="D140:D146" si="55">(H140+O140-I140)*200</f>
        <v>1417.0200000000002</v>
      </c>
      <c r="E140" s="72">
        <f t="shared" si="54"/>
        <v>3.0906000000000002</v>
      </c>
      <c r="F140" s="4">
        <v>0</v>
      </c>
      <c r="G140" s="4">
        <f>4.55+1.2677</f>
        <v>5.8177000000000003</v>
      </c>
      <c r="H140" s="73">
        <f t="shared" ref="H140:H146" si="56">SUM(E140+F140+G140)</f>
        <v>8.9083000000000006</v>
      </c>
      <c r="I140" s="120">
        <f>1.5606+0.6338</f>
        <v>2.1943999999999999</v>
      </c>
      <c r="J140" s="72">
        <f t="shared" ref="J140:J146" si="57">O$8</f>
        <v>0.37119999999999997</v>
      </c>
      <c r="K140" s="4">
        <v>0</v>
      </c>
      <c r="L140" s="4">
        <v>0</v>
      </c>
      <c r="M140" s="4">
        <v>0</v>
      </c>
      <c r="N140" s="4">
        <v>0</v>
      </c>
      <c r="O140" s="73">
        <f t="shared" ref="O140:O146" si="58">SUM(J140:N140)</f>
        <v>0.37119999999999997</v>
      </c>
      <c r="AI140" s="32"/>
      <c r="AJ140" s="32"/>
      <c r="AK140" s="32"/>
    </row>
    <row r="141" spans="1:37" ht="15" x14ac:dyDescent="0.25">
      <c r="A141" s="74" t="s">
        <v>131</v>
      </c>
      <c r="B141" s="2"/>
      <c r="C141" s="2" t="s">
        <v>132</v>
      </c>
      <c r="D141" s="3">
        <f t="shared" si="55"/>
        <v>2025.5000000000002</v>
      </c>
      <c r="E141" s="72">
        <f t="shared" si="54"/>
        <v>3.0906000000000002</v>
      </c>
      <c r="F141" s="4">
        <v>0</v>
      </c>
      <c r="G141" s="4">
        <f t="shared" ref="G141:G143" si="59">4.55+1.2677</f>
        <v>5.8177000000000003</v>
      </c>
      <c r="H141" s="73">
        <f t="shared" si="56"/>
        <v>8.9083000000000006</v>
      </c>
      <c r="I141" s="120">
        <f t="shared" ref="I141:I143" si="60">1.5606+0.6338</f>
        <v>2.1943999999999999</v>
      </c>
      <c r="J141" s="72">
        <f t="shared" si="57"/>
        <v>0.37119999999999997</v>
      </c>
      <c r="K141" s="4">
        <v>0</v>
      </c>
      <c r="L141" s="4">
        <v>0</v>
      </c>
      <c r="M141" s="4">
        <f>3+0.0424</f>
        <v>3.0424000000000002</v>
      </c>
      <c r="N141" s="4">
        <v>0</v>
      </c>
      <c r="O141" s="73">
        <f t="shared" si="58"/>
        <v>3.4136000000000002</v>
      </c>
      <c r="AI141" s="32"/>
      <c r="AJ141" s="32"/>
      <c r="AK141" s="32"/>
    </row>
    <row r="142" spans="1:37" ht="15" x14ac:dyDescent="0.25">
      <c r="A142" s="74" t="s">
        <v>133</v>
      </c>
      <c r="B142" s="2"/>
      <c r="C142" s="2" t="s">
        <v>134</v>
      </c>
      <c r="D142" s="3">
        <f t="shared" si="55"/>
        <v>2167.02</v>
      </c>
      <c r="E142" s="72">
        <f t="shared" si="54"/>
        <v>3.0906000000000002</v>
      </c>
      <c r="F142" s="4">
        <v>0</v>
      </c>
      <c r="G142" s="4">
        <f t="shared" si="59"/>
        <v>5.8177000000000003</v>
      </c>
      <c r="H142" s="73">
        <f t="shared" si="56"/>
        <v>8.9083000000000006</v>
      </c>
      <c r="I142" s="120">
        <f t="shared" si="60"/>
        <v>2.1943999999999999</v>
      </c>
      <c r="J142" s="72">
        <f t="shared" si="57"/>
        <v>0.37119999999999997</v>
      </c>
      <c r="K142" s="4">
        <v>0</v>
      </c>
      <c r="L142" s="4">
        <v>0</v>
      </c>
      <c r="M142" s="4">
        <v>3.75</v>
      </c>
      <c r="N142" s="4">
        <v>0</v>
      </c>
      <c r="O142" s="73">
        <f t="shared" si="58"/>
        <v>4.1212</v>
      </c>
      <c r="AI142" s="32"/>
      <c r="AJ142" s="32"/>
      <c r="AK142" s="32"/>
    </row>
    <row r="143" spans="1:37" ht="15" x14ac:dyDescent="0.25">
      <c r="A143" s="74">
        <v>2343</v>
      </c>
      <c r="B143" s="2"/>
      <c r="C143" s="2" t="s">
        <v>348</v>
      </c>
      <c r="D143" s="3"/>
      <c r="E143" s="72">
        <f>I$6</f>
        <v>3.0906000000000002</v>
      </c>
      <c r="F143" s="4">
        <v>0</v>
      </c>
      <c r="G143" s="4">
        <f t="shared" si="59"/>
        <v>5.8177000000000003</v>
      </c>
      <c r="H143" s="73">
        <f>SUM(E143+F143+G143)</f>
        <v>8.9083000000000006</v>
      </c>
      <c r="I143" s="120">
        <f t="shared" si="60"/>
        <v>2.1943999999999999</v>
      </c>
      <c r="J143" s="72">
        <f>O$8</f>
        <v>0.37119999999999997</v>
      </c>
      <c r="K143" s="4">
        <v>0</v>
      </c>
      <c r="L143" s="4">
        <v>0</v>
      </c>
      <c r="M143" s="4">
        <v>0</v>
      </c>
      <c r="N143" s="4">
        <v>0</v>
      </c>
      <c r="O143" s="73">
        <f>SUM(J143:N143)</f>
        <v>0.37119999999999997</v>
      </c>
      <c r="AI143" s="32"/>
      <c r="AJ143" s="32"/>
      <c r="AK143" s="32"/>
    </row>
    <row r="144" spans="1:37" ht="15" x14ac:dyDescent="0.25">
      <c r="A144" s="31" t="s">
        <v>135</v>
      </c>
      <c r="B144" s="2"/>
      <c r="C144" s="2" t="s">
        <v>136</v>
      </c>
      <c r="D144" s="3">
        <f t="shared" si="55"/>
        <v>1202.3200000000002</v>
      </c>
      <c r="E144" s="72">
        <f t="shared" si="54"/>
        <v>3.0906000000000002</v>
      </c>
      <c r="F144" s="4">
        <v>0</v>
      </c>
      <c r="G144" s="4">
        <f>1.9302+1.5606</f>
        <v>3.4908000000000001</v>
      </c>
      <c r="H144" s="73">
        <f t="shared" si="56"/>
        <v>6.5814000000000004</v>
      </c>
      <c r="I144" s="120">
        <f>0.9651+0.7803</f>
        <v>1.7454000000000001</v>
      </c>
      <c r="J144" s="72">
        <f t="shared" si="57"/>
        <v>0.37119999999999997</v>
      </c>
      <c r="K144" s="4">
        <v>0</v>
      </c>
      <c r="L144" s="4">
        <v>0.8044</v>
      </c>
      <c r="M144" s="4">
        <v>0</v>
      </c>
      <c r="N144" s="4">
        <v>0</v>
      </c>
      <c r="O144" s="73">
        <f t="shared" si="58"/>
        <v>1.1756</v>
      </c>
      <c r="AI144" s="32"/>
      <c r="AJ144" s="32"/>
      <c r="AK144" s="32"/>
    </row>
    <row r="145" spans="1:37" ht="15" x14ac:dyDescent="0.25">
      <c r="A145" s="74" t="s">
        <v>137</v>
      </c>
      <c r="B145" s="2"/>
      <c r="C145" s="2" t="s">
        <v>138</v>
      </c>
      <c r="D145" s="3">
        <f t="shared" si="55"/>
        <v>1754.1600000000003</v>
      </c>
      <c r="E145" s="72">
        <f t="shared" si="54"/>
        <v>3.0906000000000002</v>
      </c>
      <c r="F145" s="4">
        <v>0</v>
      </c>
      <c r="G145" s="4">
        <f t="shared" ref="G145:G146" si="61">1.9302+1.5606</f>
        <v>3.4908000000000001</v>
      </c>
      <c r="H145" s="73">
        <f t="shared" si="56"/>
        <v>6.5814000000000004</v>
      </c>
      <c r="I145" s="120">
        <f t="shared" ref="I145:I146" si="62">0.9651+0.7803</f>
        <v>1.7454000000000001</v>
      </c>
      <c r="J145" s="72">
        <f t="shared" si="57"/>
        <v>0.37119999999999997</v>
      </c>
      <c r="K145" s="4">
        <v>0</v>
      </c>
      <c r="L145" s="4">
        <v>0.8044</v>
      </c>
      <c r="M145" s="4">
        <v>2.7591999999999999</v>
      </c>
      <c r="N145" s="4">
        <v>0</v>
      </c>
      <c r="O145" s="73">
        <f t="shared" si="58"/>
        <v>3.9348000000000001</v>
      </c>
      <c r="AI145" s="32"/>
      <c r="AJ145" s="32"/>
      <c r="AK145" s="32"/>
    </row>
    <row r="146" spans="1:37" ht="15.75" thickBot="1" x14ac:dyDescent="0.3">
      <c r="A146" s="33" t="s">
        <v>139</v>
      </c>
      <c r="B146" s="5"/>
      <c r="C146" s="5" t="s">
        <v>257</v>
      </c>
      <c r="D146" s="6">
        <f t="shared" si="55"/>
        <v>1920.3200000000002</v>
      </c>
      <c r="E146" s="79">
        <f t="shared" si="54"/>
        <v>3.0906000000000002</v>
      </c>
      <c r="F146" s="7">
        <v>0</v>
      </c>
      <c r="G146" s="7">
        <f t="shared" si="61"/>
        <v>3.4908000000000001</v>
      </c>
      <c r="H146" s="81">
        <f t="shared" si="56"/>
        <v>6.5814000000000004</v>
      </c>
      <c r="I146" s="123">
        <f t="shared" si="62"/>
        <v>1.7454000000000001</v>
      </c>
      <c r="J146" s="79">
        <f t="shared" si="57"/>
        <v>0.37119999999999997</v>
      </c>
      <c r="K146" s="7">
        <v>0</v>
      </c>
      <c r="L146" s="7">
        <v>0.8044</v>
      </c>
      <c r="M146" s="7">
        <v>3.59</v>
      </c>
      <c r="N146" s="7">
        <v>0</v>
      </c>
      <c r="O146" s="81">
        <f t="shared" si="58"/>
        <v>4.7656000000000001</v>
      </c>
      <c r="AI146" s="32"/>
      <c r="AJ146" s="32"/>
      <c r="AK146" s="32"/>
    </row>
    <row r="147" spans="1:37" x14ac:dyDescent="0.2">
      <c r="AI147" s="32"/>
      <c r="AJ147" s="32"/>
      <c r="AK147" s="32"/>
    </row>
    <row r="148" spans="1:37" x14ac:dyDescent="0.2">
      <c r="AI148" s="32"/>
      <c r="AJ148" s="32"/>
      <c r="AK148" s="32"/>
    </row>
    <row r="149" spans="1:37" x14ac:dyDescent="0.2">
      <c r="I149" s="105" t="s">
        <v>0</v>
      </c>
      <c r="AI149" s="32"/>
      <c r="AJ149" s="32"/>
      <c r="AK149" s="32"/>
    </row>
    <row r="150" spans="1:37" x14ac:dyDescent="0.2">
      <c r="D150" s="83" t="s">
        <v>0</v>
      </c>
      <c r="AI150" s="32"/>
      <c r="AJ150" s="32"/>
      <c r="AK150" s="32"/>
    </row>
    <row r="151" spans="1:37" ht="16.5" thickBot="1" x14ac:dyDescent="0.3">
      <c r="D151" s="83" t="s">
        <v>0</v>
      </c>
      <c r="E151" s="126" t="s">
        <v>12</v>
      </c>
      <c r="F151" s="126"/>
      <c r="G151" s="126"/>
      <c r="H151" s="126"/>
      <c r="I151" s="54" t="s">
        <v>0</v>
      </c>
      <c r="J151" s="126" t="s">
        <v>13</v>
      </c>
      <c r="K151" s="126"/>
      <c r="L151" s="126"/>
      <c r="M151" s="126"/>
      <c r="N151" s="126"/>
      <c r="O151" s="126"/>
      <c r="AI151" s="32"/>
      <c r="AJ151" s="32"/>
      <c r="AK151" s="32"/>
    </row>
    <row r="152" spans="1:37" x14ac:dyDescent="0.2">
      <c r="A152" s="55" t="s">
        <v>14</v>
      </c>
      <c r="B152" s="11"/>
      <c r="C152" s="11" t="s">
        <v>15</v>
      </c>
      <c r="D152" s="12" t="s">
        <v>0</v>
      </c>
      <c r="E152" s="84" t="s">
        <v>16</v>
      </c>
      <c r="F152" s="106" t="s">
        <v>17</v>
      </c>
      <c r="G152" s="106" t="s">
        <v>18</v>
      </c>
      <c r="H152" s="85" t="s">
        <v>60</v>
      </c>
      <c r="I152" s="60" t="s">
        <v>20</v>
      </c>
      <c r="J152" s="84" t="s">
        <v>16</v>
      </c>
      <c r="K152" s="106" t="s">
        <v>21</v>
      </c>
      <c r="L152" s="106" t="s">
        <v>18</v>
      </c>
      <c r="M152" s="106" t="s">
        <v>22</v>
      </c>
      <c r="N152" s="106" t="s">
        <v>23</v>
      </c>
      <c r="O152" s="85" t="s">
        <v>24</v>
      </c>
      <c r="P152" s="60"/>
      <c r="AI152" s="35"/>
      <c r="AJ152" s="35"/>
      <c r="AK152" s="35"/>
    </row>
    <row r="153" spans="1:37" x14ac:dyDescent="0.2">
      <c r="A153" s="62" t="s">
        <v>25</v>
      </c>
      <c r="B153" s="8"/>
      <c r="C153" s="8" t="s">
        <v>26</v>
      </c>
      <c r="D153" s="86" t="s">
        <v>0</v>
      </c>
      <c r="E153" s="87" t="s">
        <v>28</v>
      </c>
      <c r="F153" s="88" t="s">
        <v>29</v>
      </c>
      <c r="G153" s="88" t="s">
        <v>25</v>
      </c>
      <c r="H153" s="89" t="s">
        <v>30</v>
      </c>
      <c r="I153" s="60" t="s">
        <v>31</v>
      </c>
      <c r="J153" s="87" t="s">
        <v>28</v>
      </c>
      <c r="K153" s="88" t="s">
        <v>32</v>
      </c>
      <c r="L153" s="88" t="s">
        <v>25</v>
      </c>
      <c r="M153" s="88" t="s">
        <v>33</v>
      </c>
      <c r="N153" s="88" t="s">
        <v>33</v>
      </c>
      <c r="O153" s="89" t="s">
        <v>30</v>
      </c>
      <c r="P153" s="60"/>
      <c r="AI153" s="35"/>
      <c r="AJ153" s="35"/>
      <c r="AK153" s="35"/>
    </row>
    <row r="154" spans="1:37" x14ac:dyDescent="0.2">
      <c r="A154" s="62" t="s">
        <v>34</v>
      </c>
      <c r="B154" s="8"/>
      <c r="C154" s="8"/>
      <c r="D154" s="86" t="s">
        <v>0</v>
      </c>
      <c r="E154" s="87" t="s">
        <v>35</v>
      </c>
      <c r="F154" s="8"/>
      <c r="G154" s="8"/>
      <c r="H154" s="90"/>
      <c r="I154" s="8"/>
      <c r="J154" s="87" t="s">
        <v>35</v>
      </c>
      <c r="K154" s="8"/>
      <c r="L154" s="8"/>
      <c r="M154" s="8"/>
      <c r="N154" s="8"/>
      <c r="O154" s="90"/>
      <c r="AI154" s="35"/>
      <c r="AJ154" s="32"/>
      <c r="AK154" s="32"/>
    </row>
    <row r="155" spans="1:37" ht="15" x14ac:dyDescent="0.25">
      <c r="A155" s="31" t="s">
        <v>140</v>
      </c>
      <c r="B155" s="2"/>
      <c r="C155" s="2" t="s">
        <v>141</v>
      </c>
      <c r="D155" s="3">
        <f>(H155+O155-I155)*200</f>
        <v>1129.1399999999999</v>
      </c>
      <c r="E155" s="72">
        <f>I$6</f>
        <v>3.0906000000000002</v>
      </c>
      <c r="F155" s="4">
        <v>0</v>
      </c>
      <c r="G155" s="4">
        <v>3.6945000000000001</v>
      </c>
      <c r="H155" s="73">
        <f>SUM(E155+F155+G155)</f>
        <v>6.7850999999999999</v>
      </c>
      <c r="I155" s="120">
        <v>1.5606</v>
      </c>
      <c r="J155" s="72">
        <f>O$8</f>
        <v>0.37119999999999997</v>
      </c>
      <c r="K155" s="4">
        <v>0</v>
      </c>
      <c r="L155" s="4">
        <v>0.05</v>
      </c>
      <c r="M155" s="4">
        <v>0</v>
      </c>
      <c r="N155" s="4">
        <v>0</v>
      </c>
      <c r="O155" s="73">
        <f>SUM(J155:N155)</f>
        <v>0.42119999999999996</v>
      </c>
      <c r="AI155" s="35"/>
      <c r="AJ155" s="32"/>
      <c r="AK155" s="32"/>
    </row>
    <row r="156" spans="1:37" ht="15" x14ac:dyDescent="0.25">
      <c r="A156" s="74" t="s">
        <v>142</v>
      </c>
      <c r="B156" s="2"/>
      <c r="C156" s="2" t="s">
        <v>143</v>
      </c>
      <c r="D156" s="3">
        <f>(H156+O156-I156)*200</f>
        <v>1791.14</v>
      </c>
      <c r="E156" s="72">
        <f>I$6</f>
        <v>3.0906000000000002</v>
      </c>
      <c r="F156" s="4">
        <v>0</v>
      </c>
      <c r="G156" s="4">
        <v>3.6945000000000001</v>
      </c>
      <c r="H156" s="73">
        <f>SUM(E156+F156+G156)</f>
        <v>6.7850999999999999</v>
      </c>
      <c r="I156" s="120">
        <v>1.5606</v>
      </c>
      <c r="J156" s="72">
        <f>O$8</f>
        <v>0.37119999999999997</v>
      </c>
      <c r="K156" s="4">
        <v>0</v>
      </c>
      <c r="L156" s="4">
        <v>0.05</v>
      </c>
      <c r="M156" s="4">
        <v>3.31</v>
      </c>
      <c r="N156" s="4">
        <v>0</v>
      </c>
      <c r="O156" s="73">
        <f>SUM(J156:N156)</f>
        <v>3.7311999999999999</v>
      </c>
      <c r="AI156" s="35"/>
      <c r="AJ156" s="32"/>
      <c r="AK156" s="32"/>
    </row>
    <row r="157" spans="1:37" ht="16.149999999999999" customHeight="1" x14ac:dyDescent="0.25">
      <c r="A157" s="74" t="s">
        <v>144</v>
      </c>
      <c r="B157" s="2"/>
      <c r="C157" s="2" t="s">
        <v>145</v>
      </c>
      <c r="D157" s="3">
        <f>(H157+O157-I157)*200</f>
        <v>1791.14</v>
      </c>
      <c r="E157" s="72">
        <f>I$6</f>
        <v>3.0906000000000002</v>
      </c>
      <c r="F157" s="4">
        <v>0</v>
      </c>
      <c r="G157" s="4">
        <v>3.6945000000000001</v>
      </c>
      <c r="H157" s="73">
        <f>SUM(E157+F157+G157)</f>
        <v>6.7850999999999999</v>
      </c>
      <c r="I157" s="120">
        <v>1.5606</v>
      </c>
      <c r="J157" s="72">
        <f>O$8</f>
        <v>0.37119999999999997</v>
      </c>
      <c r="K157" s="4">
        <v>0</v>
      </c>
      <c r="L157" s="4">
        <v>0.05</v>
      </c>
      <c r="M157" s="4">
        <v>3.31</v>
      </c>
      <c r="N157" s="4">
        <v>0</v>
      </c>
      <c r="O157" s="73">
        <f>SUM(J157:N157)</f>
        <v>3.7311999999999999</v>
      </c>
      <c r="AI157" s="35"/>
      <c r="AJ157" s="32"/>
      <c r="AK157" s="32"/>
    </row>
    <row r="158" spans="1:37" ht="16.149999999999999" customHeight="1" x14ac:dyDescent="0.25">
      <c r="A158" s="31" t="s">
        <v>146</v>
      </c>
      <c r="B158" s="2"/>
      <c r="C158" s="2" t="s">
        <v>259</v>
      </c>
      <c r="D158" s="3">
        <f>(H158+O158-I158)*200</f>
        <v>1847.1399999999996</v>
      </c>
      <c r="E158" s="72">
        <f>I$6</f>
        <v>3.0906000000000002</v>
      </c>
      <c r="F158" s="4">
        <v>0</v>
      </c>
      <c r="G158" s="4">
        <v>3.6945000000000001</v>
      </c>
      <c r="H158" s="73">
        <f>SUM(E158+F158+G158)</f>
        <v>6.7850999999999999</v>
      </c>
      <c r="I158" s="120">
        <v>1.5606</v>
      </c>
      <c r="J158" s="72">
        <f>O$8</f>
        <v>0.37119999999999997</v>
      </c>
      <c r="K158" s="4">
        <v>0</v>
      </c>
      <c r="L158" s="4">
        <v>0.05</v>
      </c>
      <c r="M158" s="4">
        <v>3.59</v>
      </c>
      <c r="N158" s="4">
        <v>0</v>
      </c>
      <c r="O158" s="73">
        <f>SUM(J158:N158)</f>
        <v>4.0111999999999997</v>
      </c>
      <c r="AI158" s="35"/>
      <c r="AJ158" s="32"/>
      <c r="AK158" s="32"/>
    </row>
    <row r="159" spans="1:37" ht="15" customHeight="1" x14ac:dyDescent="0.25">
      <c r="A159" s="93" t="s">
        <v>147</v>
      </c>
      <c r="B159" s="14" t="s">
        <v>0</v>
      </c>
      <c r="C159" s="14" t="s">
        <v>347</v>
      </c>
      <c r="D159" s="15"/>
      <c r="E159" s="72" t="s">
        <v>0</v>
      </c>
      <c r="F159" s="4"/>
      <c r="G159" s="4" t="s">
        <v>0</v>
      </c>
      <c r="H159" s="73"/>
      <c r="I159" s="120" t="s">
        <v>0</v>
      </c>
      <c r="J159" s="72" t="s">
        <v>0</v>
      </c>
      <c r="K159" s="4"/>
      <c r="L159" s="4" t="s">
        <v>0</v>
      </c>
      <c r="M159" s="4"/>
      <c r="N159" s="4"/>
      <c r="O159" s="73"/>
      <c r="AI159" s="35"/>
      <c r="AJ159" s="32"/>
      <c r="AK159" s="32"/>
    </row>
    <row r="160" spans="1:37" ht="14.25" customHeight="1" x14ac:dyDescent="0.25">
      <c r="A160" s="75"/>
      <c r="B160" s="107"/>
      <c r="C160" s="16" t="s">
        <v>148</v>
      </c>
      <c r="D160" s="17">
        <f>(H160+O160-I160)*200</f>
        <v>1847.1399999999996</v>
      </c>
      <c r="E160" s="72">
        <f>I$6</f>
        <v>3.0906000000000002</v>
      </c>
      <c r="F160" s="4">
        <v>0</v>
      </c>
      <c r="G160" s="4">
        <v>3.6945000000000001</v>
      </c>
      <c r="H160" s="73">
        <f>SUM(E160+F160+G160)</f>
        <v>6.7850999999999999</v>
      </c>
      <c r="I160" s="120">
        <v>1.5606</v>
      </c>
      <c r="J160" s="72">
        <f>O$8</f>
        <v>0.37119999999999997</v>
      </c>
      <c r="K160" s="4">
        <v>0</v>
      </c>
      <c r="L160" s="4">
        <v>0.05</v>
      </c>
      <c r="M160" s="4">
        <v>3.59</v>
      </c>
      <c r="N160" s="4">
        <v>0</v>
      </c>
      <c r="O160" s="73">
        <f>SUM(J160:N160)</f>
        <v>4.0111999999999997</v>
      </c>
      <c r="AI160" s="35"/>
      <c r="AJ160" s="32"/>
      <c r="AK160" s="32"/>
    </row>
    <row r="161" spans="1:37" ht="14.25" customHeight="1" x14ac:dyDescent="0.25">
      <c r="A161" s="19">
        <v>2872</v>
      </c>
      <c r="B161" s="108"/>
      <c r="C161" s="8" t="s">
        <v>342</v>
      </c>
      <c r="D161" s="9"/>
      <c r="E161" s="72"/>
      <c r="F161" s="4"/>
      <c r="G161" s="4"/>
      <c r="H161" s="73"/>
      <c r="I161" s="120"/>
      <c r="J161" s="72"/>
      <c r="K161" s="4"/>
      <c r="L161" s="4"/>
      <c r="M161" s="4"/>
      <c r="N161" s="4"/>
      <c r="O161" s="73"/>
      <c r="AI161" s="35"/>
      <c r="AJ161" s="32"/>
      <c r="AK161" s="32"/>
    </row>
    <row r="162" spans="1:37" ht="14.25" customHeight="1" x14ac:dyDescent="0.25">
      <c r="A162" s="19"/>
      <c r="B162" s="108"/>
      <c r="C162" s="8" t="s">
        <v>78</v>
      </c>
      <c r="D162" s="9"/>
      <c r="E162" s="72">
        <f>I$6</f>
        <v>3.0906000000000002</v>
      </c>
      <c r="F162" s="4">
        <v>0</v>
      </c>
      <c r="G162" s="4">
        <v>3.6945000000000001</v>
      </c>
      <c r="H162" s="73">
        <f>SUM(E162+F162+G162)</f>
        <v>6.7850999999999999</v>
      </c>
      <c r="I162" s="120">
        <v>1.5606</v>
      </c>
      <c r="J162" s="72">
        <f>O$8</f>
        <v>0.37119999999999997</v>
      </c>
      <c r="K162" s="4">
        <v>0</v>
      </c>
      <c r="L162" s="4">
        <v>0.05</v>
      </c>
      <c r="M162" s="4">
        <v>3.59</v>
      </c>
      <c r="N162" s="4">
        <v>1.5691999999999999</v>
      </c>
      <c r="O162" s="73">
        <f>SUM(J162:N162)</f>
        <v>5.5803999999999991</v>
      </c>
      <c r="AI162" s="35"/>
      <c r="AJ162" s="32"/>
      <c r="AK162" s="32"/>
    </row>
    <row r="163" spans="1:37" ht="15" x14ac:dyDescent="0.25">
      <c r="A163" s="93" t="s">
        <v>149</v>
      </c>
      <c r="B163" s="14"/>
      <c r="C163" s="14" t="s">
        <v>342</v>
      </c>
      <c r="D163" s="15"/>
      <c r="E163" s="72" t="s">
        <v>0</v>
      </c>
      <c r="F163" s="4"/>
      <c r="G163" s="4" t="s">
        <v>0</v>
      </c>
      <c r="H163" s="73"/>
      <c r="I163" s="120" t="s">
        <v>0</v>
      </c>
      <c r="J163" s="72" t="s">
        <v>0</v>
      </c>
      <c r="K163" s="4"/>
      <c r="L163" s="4" t="s">
        <v>0</v>
      </c>
      <c r="M163" s="4"/>
      <c r="N163" s="4"/>
      <c r="O163" s="73"/>
      <c r="AI163" s="35"/>
      <c r="AJ163" s="32"/>
      <c r="AK163" s="32"/>
    </row>
    <row r="164" spans="1:37" ht="13.5" customHeight="1" x14ac:dyDescent="0.25">
      <c r="A164" s="19"/>
      <c r="B164" s="8"/>
      <c r="C164" s="8" t="s">
        <v>343</v>
      </c>
      <c r="D164" s="9"/>
      <c r="E164" s="72">
        <f>I$6</f>
        <v>3.0906000000000002</v>
      </c>
      <c r="F164" s="4">
        <v>0</v>
      </c>
      <c r="G164" s="4">
        <v>3.6945000000000001</v>
      </c>
      <c r="H164" s="73">
        <f>SUM(E164+F164+G164)</f>
        <v>6.7850999999999999</v>
      </c>
      <c r="I164" s="120">
        <v>1.5606</v>
      </c>
      <c r="J164" s="72">
        <f>O$8</f>
        <v>0.37119999999999997</v>
      </c>
      <c r="K164" s="4">
        <v>0</v>
      </c>
      <c r="L164" s="4">
        <v>0.05</v>
      </c>
      <c r="M164" s="4">
        <v>3.59</v>
      </c>
      <c r="N164" s="4">
        <v>1.5691999999999999</v>
      </c>
      <c r="O164" s="73">
        <f>SUM(J164:N164)</f>
        <v>5.5803999999999991</v>
      </c>
      <c r="AI164" s="35"/>
      <c r="AJ164" s="32"/>
      <c r="AK164" s="32"/>
    </row>
    <row r="165" spans="1:37" ht="15" customHeight="1" x14ac:dyDescent="0.25">
      <c r="A165" s="20" t="s">
        <v>150</v>
      </c>
      <c r="B165" s="14"/>
      <c r="C165" s="14" t="s">
        <v>258</v>
      </c>
      <c r="D165" s="15" t="s">
        <v>0</v>
      </c>
      <c r="E165" s="72" t="s">
        <v>0</v>
      </c>
      <c r="F165" s="4"/>
      <c r="G165" s="4" t="s">
        <v>0</v>
      </c>
      <c r="H165" s="73" t="s">
        <v>0</v>
      </c>
      <c r="I165" s="120" t="s">
        <v>0</v>
      </c>
      <c r="J165" s="72" t="s">
        <v>0</v>
      </c>
      <c r="K165" s="4"/>
      <c r="L165" s="4" t="s">
        <v>0</v>
      </c>
      <c r="M165" s="4"/>
      <c r="N165" s="4"/>
      <c r="O165" s="73"/>
      <c r="AI165" s="32"/>
      <c r="AJ165" s="32"/>
      <c r="AK165" s="32"/>
    </row>
    <row r="166" spans="1:37" ht="13.5" customHeight="1" x14ac:dyDescent="0.25">
      <c r="A166" s="22"/>
      <c r="B166" s="16"/>
      <c r="C166" s="16" t="s">
        <v>78</v>
      </c>
      <c r="D166" s="109">
        <f>(H166+O166-I166)*200</f>
        <v>1847.1399999999996</v>
      </c>
      <c r="E166" s="72">
        <f>I$6</f>
        <v>3.0906000000000002</v>
      </c>
      <c r="F166" s="4">
        <v>0</v>
      </c>
      <c r="G166" s="4">
        <v>3.6945000000000001</v>
      </c>
      <c r="H166" s="73">
        <f>SUM(E166+F166+G166)</f>
        <v>6.7850999999999999</v>
      </c>
      <c r="I166" s="120">
        <v>1.5606</v>
      </c>
      <c r="J166" s="72">
        <f>O$8</f>
        <v>0.37119999999999997</v>
      </c>
      <c r="K166" s="4">
        <v>0</v>
      </c>
      <c r="L166" s="4">
        <v>0.05</v>
      </c>
      <c r="M166" s="4">
        <v>3.59</v>
      </c>
      <c r="N166" s="4">
        <v>0</v>
      </c>
      <c r="O166" s="73">
        <f>SUM(J166:N166)</f>
        <v>4.0111999999999997</v>
      </c>
      <c r="AI166" s="32"/>
      <c r="AJ166" s="32"/>
      <c r="AK166" s="32"/>
    </row>
    <row r="167" spans="1:37" ht="15" x14ac:dyDescent="0.25">
      <c r="A167" s="31" t="s">
        <v>151</v>
      </c>
      <c r="B167" s="2"/>
      <c r="C167" s="2" t="s">
        <v>304</v>
      </c>
      <c r="D167" s="3">
        <f t="shared" ref="D167:D186" si="63">(H167+O167-I167)*200</f>
        <v>1929.8400000000001</v>
      </c>
      <c r="E167" s="72">
        <f t="shared" ref="E167:E187" si="64">I$6</f>
        <v>3.0906000000000002</v>
      </c>
      <c r="F167" s="4">
        <v>0</v>
      </c>
      <c r="G167" s="4">
        <v>7.6980000000000004</v>
      </c>
      <c r="H167" s="73">
        <f t="shared" ref="H167:H186" si="65">SUM(E167+F167+G167)</f>
        <v>10.788600000000001</v>
      </c>
      <c r="I167" s="120">
        <v>1.5606</v>
      </c>
      <c r="J167" s="72">
        <f t="shared" ref="J167:J230" si="66">O$8</f>
        <v>0.37119999999999997</v>
      </c>
      <c r="K167" s="4">
        <v>0</v>
      </c>
      <c r="L167" s="4">
        <v>0.05</v>
      </c>
      <c r="M167" s="4">
        <v>0</v>
      </c>
      <c r="N167" s="4">
        <v>0</v>
      </c>
      <c r="O167" s="73">
        <f t="shared" ref="O167:O186" si="67">SUM(J167:N167)</f>
        <v>0.42119999999999996</v>
      </c>
      <c r="AI167" s="32"/>
      <c r="AJ167" s="32"/>
      <c r="AK167" s="32"/>
    </row>
    <row r="168" spans="1:37" ht="16.149999999999999" customHeight="1" x14ac:dyDescent="0.25">
      <c r="A168" s="31" t="s">
        <v>152</v>
      </c>
      <c r="B168" s="2"/>
      <c r="C168" s="2" t="s">
        <v>305</v>
      </c>
      <c r="D168" s="3">
        <f t="shared" si="63"/>
        <v>2484.44</v>
      </c>
      <c r="E168" s="72">
        <f t="shared" si="64"/>
        <v>3.0906000000000002</v>
      </c>
      <c r="F168" s="4">
        <v>0</v>
      </c>
      <c r="G168" s="4">
        <v>7.6980000000000004</v>
      </c>
      <c r="H168" s="73">
        <f t="shared" si="65"/>
        <v>10.788600000000001</v>
      </c>
      <c r="I168" s="120">
        <v>1.5606</v>
      </c>
      <c r="J168" s="72">
        <f t="shared" si="66"/>
        <v>0.37119999999999997</v>
      </c>
      <c r="K168" s="4">
        <v>0</v>
      </c>
      <c r="L168" s="4">
        <v>0.05</v>
      </c>
      <c r="M168" s="4">
        <v>1.87</v>
      </c>
      <c r="N168" s="4">
        <v>0.90300000000000002</v>
      </c>
      <c r="O168" s="73">
        <f t="shared" si="67"/>
        <v>3.1941999999999999</v>
      </c>
      <c r="AI168" s="32"/>
      <c r="AJ168" s="32"/>
      <c r="AK168" s="32"/>
    </row>
    <row r="169" spans="1:37" ht="15" x14ac:dyDescent="0.25">
      <c r="A169" s="31" t="s">
        <v>153</v>
      </c>
      <c r="B169" s="2"/>
      <c r="C169" s="2" t="s">
        <v>306</v>
      </c>
      <c r="D169" s="3">
        <f t="shared" si="63"/>
        <v>2303.84</v>
      </c>
      <c r="E169" s="72">
        <f t="shared" si="64"/>
        <v>3.0906000000000002</v>
      </c>
      <c r="F169" s="4">
        <v>0</v>
      </c>
      <c r="G169" s="4">
        <v>7.6980000000000004</v>
      </c>
      <c r="H169" s="73">
        <f t="shared" si="65"/>
        <v>10.788600000000001</v>
      </c>
      <c r="I169" s="120">
        <v>1.5606</v>
      </c>
      <c r="J169" s="72">
        <f t="shared" si="66"/>
        <v>0.37119999999999997</v>
      </c>
      <c r="K169" s="4">
        <v>0</v>
      </c>
      <c r="L169" s="4">
        <v>0.05</v>
      </c>
      <c r="M169" s="4">
        <v>1.87</v>
      </c>
      <c r="N169" s="4">
        <v>0</v>
      </c>
      <c r="O169" s="73">
        <f t="shared" si="67"/>
        <v>2.2911999999999999</v>
      </c>
      <c r="AI169" s="32"/>
      <c r="AJ169" s="32"/>
      <c r="AK169" s="32"/>
    </row>
    <row r="170" spans="1:37" ht="15" x14ac:dyDescent="0.25">
      <c r="A170" s="74" t="s">
        <v>154</v>
      </c>
      <c r="B170" s="2"/>
      <c r="C170" s="2" t="s">
        <v>307</v>
      </c>
      <c r="D170" s="3">
        <f t="shared" si="63"/>
        <v>2779.66</v>
      </c>
      <c r="E170" s="72">
        <f t="shared" si="64"/>
        <v>3.0906000000000002</v>
      </c>
      <c r="F170" s="4">
        <v>0</v>
      </c>
      <c r="G170" s="4">
        <v>7.6980000000000004</v>
      </c>
      <c r="H170" s="73">
        <f t="shared" ref="H170:H180" si="68">SUM(E170+F170+G170)</f>
        <v>10.788600000000001</v>
      </c>
      <c r="I170" s="120">
        <v>1.5606</v>
      </c>
      <c r="J170" s="72">
        <f t="shared" si="66"/>
        <v>0.37119999999999997</v>
      </c>
      <c r="K170" s="4">
        <v>0</v>
      </c>
      <c r="L170" s="4">
        <v>0.05</v>
      </c>
      <c r="M170" s="4">
        <v>1.87</v>
      </c>
      <c r="N170" s="4">
        <f>0.903+1.4761</f>
        <v>2.3791000000000002</v>
      </c>
      <c r="O170" s="73">
        <f>SUM(J170:N170)</f>
        <v>4.6703000000000001</v>
      </c>
      <c r="P170" s="105" t="s">
        <v>0</v>
      </c>
      <c r="AI170" s="32"/>
      <c r="AJ170" s="32"/>
      <c r="AK170" s="32"/>
    </row>
    <row r="171" spans="1:37" ht="15" x14ac:dyDescent="0.25">
      <c r="A171" s="74" t="s">
        <v>155</v>
      </c>
      <c r="B171" s="2"/>
      <c r="C171" s="2" t="s">
        <v>308</v>
      </c>
      <c r="D171" s="3">
        <f t="shared" si="63"/>
        <v>2599.06</v>
      </c>
      <c r="E171" s="72">
        <f t="shared" si="64"/>
        <v>3.0906000000000002</v>
      </c>
      <c r="F171" s="4">
        <v>0</v>
      </c>
      <c r="G171" s="4">
        <v>7.6980000000000004</v>
      </c>
      <c r="H171" s="73">
        <f t="shared" si="68"/>
        <v>10.788600000000001</v>
      </c>
      <c r="I171" s="120">
        <v>1.5606</v>
      </c>
      <c r="J171" s="72">
        <f t="shared" si="66"/>
        <v>0.37119999999999997</v>
      </c>
      <c r="K171" s="4">
        <v>0</v>
      </c>
      <c r="L171" s="4">
        <v>0.05</v>
      </c>
      <c r="M171" s="4">
        <v>1.87</v>
      </c>
      <c r="N171" s="4">
        <v>1.4761</v>
      </c>
      <c r="O171" s="73">
        <f>SUM(J171:N171)</f>
        <v>3.7672999999999996</v>
      </c>
      <c r="AI171" s="32"/>
      <c r="AJ171" s="32"/>
      <c r="AK171" s="32"/>
    </row>
    <row r="172" spans="1:37" ht="15" x14ac:dyDescent="0.25">
      <c r="A172" s="31" t="s">
        <v>156</v>
      </c>
      <c r="B172" s="2"/>
      <c r="C172" s="2" t="s">
        <v>157</v>
      </c>
      <c r="D172" s="3">
        <f t="shared" si="63"/>
        <v>1403.7199999999998</v>
      </c>
      <c r="E172" s="72">
        <f t="shared" si="64"/>
        <v>3.0906000000000002</v>
      </c>
      <c r="F172" s="4">
        <v>0</v>
      </c>
      <c r="G172" s="4">
        <f>4.8817+0.4715</f>
        <v>5.3532000000000002</v>
      </c>
      <c r="H172" s="73">
        <f t="shared" si="68"/>
        <v>8.4437999999999995</v>
      </c>
      <c r="I172" s="120">
        <f>1.5606+0.2358</f>
        <v>1.7964</v>
      </c>
      <c r="J172" s="72">
        <f t="shared" si="66"/>
        <v>0.37119999999999997</v>
      </c>
      <c r="K172" s="4">
        <v>0</v>
      </c>
      <c r="L172" s="4">
        <v>0</v>
      </c>
      <c r="M172" s="4">
        <v>0</v>
      </c>
      <c r="N172" s="4">
        <v>0</v>
      </c>
      <c r="O172" s="73">
        <f t="shared" si="67"/>
        <v>0.37119999999999997</v>
      </c>
      <c r="AI172" s="32"/>
      <c r="AJ172" s="32"/>
      <c r="AK172" s="32"/>
    </row>
    <row r="173" spans="1:37" ht="16.149999999999999" customHeight="1" x14ac:dyDescent="0.25">
      <c r="A173" s="31" t="s">
        <v>158</v>
      </c>
      <c r="B173" s="2"/>
      <c r="C173" s="2" t="s">
        <v>309</v>
      </c>
      <c r="D173" s="3">
        <f t="shared" si="63"/>
        <v>1907.4200000000005</v>
      </c>
      <c r="E173" s="72">
        <f t="shared" si="64"/>
        <v>3.0906000000000002</v>
      </c>
      <c r="F173" s="4">
        <v>0</v>
      </c>
      <c r="G173" s="4">
        <v>7.5858999999999996</v>
      </c>
      <c r="H173" s="73">
        <f t="shared" si="68"/>
        <v>10.676500000000001</v>
      </c>
      <c r="I173" s="120">
        <v>1.5606</v>
      </c>
      <c r="J173" s="72">
        <f t="shared" si="66"/>
        <v>0.37119999999999997</v>
      </c>
      <c r="K173" s="4">
        <v>0</v>
      </c>
      <c r="L173" s="4">
        <v>0.05</v>
      </c>
      <c r="M173" s="4">
        <v>0</v>
      </c>
      <c r="N173" s="4">
        <v>0</v>
      </c>
      <c r="O173" s="73">
        <f t="shared" si="67"/>
        <v>0.42119999999999996</v>
      </c>
      <c r="AI173" s="32"/>
      <c r="AJ173" s="32"/>
      <c r="AK173" s="32"/>
    </row>
    <row r="174" spans="1:37" ht="16.149999999999999" customHeight="1" x14ac:dyDescent="0.25">
      <c r="A174" s="74" t="s">
        <v>230</v>
      </c>
      <c r="B174" s="2"/>
      <c r="C174" s="2" t="s">
        <v>310</v>
      </c>
      <c r="D174" s="3">
        <f>(H174+O174-I174)*200</f>
        <v>1907.4200000000005</v>
      </c>
      <c r="E174" s="72">
        <f t="shared" si="64"/>
        <v>3.0906000000000002</v>
      </c>
      <c r="F174" s="4">
        <v>0</v>
      </c>
      <c r="G174" s="4">
        <v>7.5858999999999996</v>
      </c>
      <c r="H174" s="73">
        <f t="shared" si="68"/>
        <v>10.676500000000001</v>
      </c>
      <c r="I174" s="120">
        <v>1.5606</v>
      </c>
      <c r="J174" s="72">
        <f>O$8</f>
        <v>0.37119999999999997</v>
      </c>
      <c r="K174" s="4">
        <v>0</v>
      </c>
      <c r="L174" s="4">
        <v>0.05</v>
      </c>
      <c r="M174" s="4">
        <v>0</v>
      </c>
      <c r="N174" s="4">
        <v>0</v>
      </c>
      <c r="O174" s="73">
        <f>SUM(J174:N174)</f>
        <v>0.42119999999999996</v>
      </c>
      <c r="AI174" s="32"/>
      <c r="AJ174" s="32"/>
      <c r="AK174" s="32"/>
    </row>
    <row r="175" spans="1:37" ht="16.149999999999999" customHeight="1" x14ac:dyDescent="0.25">
      <c r="A175" s="31" t="s">
        <v>159</v>
      </c>
      <c r="B175" s="2"/>
      <c r="C175" s="2" t="s">
        <v>311</v>
      </c>
      <c r="D175" s="3">
        <f t="shared" si="63"/>
        <v>2657.4199999999996</v>
      </c>
      <c r="E175" s="72">
        <f t="shared" si="64"/>
        <v>3.0906000000000002</v>
      </c>
      <c r="F175" s="4">
        <v>0</v>
      </c>
      <c r="G175" s="4">
        <v>7.5858999999999996</v>
      </c>
      <c r="H175" s="73">
        <f t="shared" si="68"/>
        <v>10.676500000000001</v>
      </c>
      <c r="I175" s="120">
        <v>1.5606</v>
      </c>
      <c r="J175" s="72">
        <f t="shared" si="66"/>
        <v>0.37119999999999997</v>
      </c>
      <c r="K175" s="4">
        <v>0</v>
      </c>
      <c r="L175" s="4">
        <v>0.05</v>
      </c>
      <c r="M175" s="4">
        <v>3.75</v>
      </c>
      <c r="N175" s="4">
        <v>0</v>
      </c>
      <c r="O175" s="73">
        <f t="shared" si="67"/>
        <v>4.1711999999999998</v>
      </c>
      <c r="AI175" s="32"/>
      <c r="AJ175" s="32"/>
      <c r="AK175" s="32"/>
    </row>
    <row r="176" spans="1:37" ht="16.149999999999999" customHeight="1" x14ac:dyDescent="0.25">
      <c r="A176" s="74" t="s">
        <v>160</v>
      </c>
      <c r="B176" s="2"/>
      <c r="C176" s="2" t="s">
        <v>312</v>
      </c>
      <c r="D176" s="3">
        <f t="shared" si="63"/>
        <v>1907.4200000000005</v>
      </c>
      <c r="E176" s="72">
        <f t="shared" si="64"/>
        <v>3.0906000000000002</v>
      </c>
      <c r="F176" s="4">
        <v>0</v>
      </c>
      <c r="G176" s="4">
        <v>7.5858999999999996</v>
      </c>
      <c r="H176" s="73">
        <f t="shared" si="68"/>
        <v>10.676500000000001</v>
      </c>
      <c r="I176" s="120">
        <v>1.5606</v>
      </c>
      <c r="J176" s="72">
        <f t="shared" si="66"/>
        <v>0.37119999999999997</v>
      </c>
      <c r="K176" s="4">
        <v>0</v>
      </c>
      <c r="L176" s="4">
        <v>0.05</v>
      </c>
      <c r="M176" s="4">
        <v>0</v>
      </c>
      <c r="N176" s="4">
        <v>0</v>
      </c>
      <c r="O176" s="73">
        <f t="shared" si="67"/>
        <v>0.42119999999999996</v>
      </c>
      <c r="AI176" s="32"/>
      <c r="AJ176" s="32"/>
      <c r="AK176" s="32"/>
    </row>
    <row r="177" spans="1:37" ht="16.149999999999999" customHeight="1" x14ac:dyDescent="0.25">
      <c r="A177" s="31" t="s">
        <v>161</v>
      </c>
      <c r="B177" s="2"/>
      <c r="C177" s="2" t="s">
        <v>313</v>
      </c>
      <c r="D177" s="3">
        <f t="shared" si="63"/>
        <v>2856.16</v>
      </c>
      <c r="E177" s="72">
        <f t="shared" si="64"/>
        <v>3.0906000000000002</v>
      </c>
      <c r="F177" s="4">
        <v>0</v>
      </c>
      <c r="G177" s="4">
        <v>7.5858999999999996</v>
      </c>
      <c r="H177" s="73">
        <f t="shared" si="68"/>
        <v>10.676500000000001</v>
      </c>
      <c r="I177" s="120">
        <v>1.5606</v>
      </c>
      <c r="J177" s="72">
        <f t="shared" si="66"/>
        <v>0.37119999999999997</v>
      </c>
      <c r="K177" s="4">
        <v>0</v>
      </c>
      <c r="L177" s="4">
        <v>0.05</v>
      </c>
      <c r="M177" s="4">
        <v>3.75</v>
      </c>
      <c r="N177" s="4">
        <v>0.99370000000000003</v>
      </c>
      <c r="O177" s="73">
        <f t="shared" si="67"/>
        <v>5.1648999999999994</v>
      </c>
      <c r="AI177" s="32"/>
      <c r="AJ177" s="32"/>
      <c r="AK177" s="32"/>
    </row>
    <row r="178" spans="1:37" ht="16.149999999999999" customHeight="1" x14ac:dyDescent="0.25">
      <c r="A178" s="31" t="s">
        <v>162</v>
      </c>
      <c r="B178" s="2"/>
      <c r="C178" s="2" t="s">
        <v>314</v>
      </c>
      <c r="D178" s="3">
        <f t="shared" si="63"/>
        <v>3498.6800000000003</v>
      </c>
      <c r="E178" s="72">
        <f t="shared" si="64"/>
        <v>3.0906000000000002</v>
      </c>
      <c r="F178" s="4">
        <v>0</v>
      </c>
      <c r="G178" s="4">
        <v>7.5858999999999996</v>
      </c>
      <c r="H178" s="73">
        <f t="shared" si="68"/>
        <v>10.676500000000001</v>
      </c>
      <c r="I178" s="120">
        <v>1.5606</v>
      </c>
      <c r="J178" s="72">
        <f t="shared" si="66"/>
        <v>0.37119999999999997</v>
      </c>
      <c r="K178" s="4">
        <v>0</v>
      </c>
      <c r="L178" s="4">
        <v>0.05</v>
      </c>
      <c r="M178" s="4">
        <v>3.75</v>
      </c>
      <c r="N178" s="4">
        <v>4.2062999999999997</v>
      </c>
      <c r="O178" s="73">
        <f t="shared" si="67"/>
        <v>8.3774999999999995</v>
      </c>
      <c r="AI178" s="32"/>
      <c r="AJ178" s="32"/>
      <c r="AK178" s="32"/>
    </row>
    <row r="179" spans="1:37" ht="16.899999999999999" customHeight="1" x14ac:dyDescent="0.25">
      <c r="A179" s="31" t="s">
        <v>163</v>
      </c>
      <c r="B179" s="2"/>
      <c r="C179" s="2" t="s">
        <v>364</v>
      </c>
      <c r="D179" s="3">
        <f t="shared" si="63"/>
        <v>3697.4199999999996</v>
      </c>
      <c r="E179" s="72">
        <f t="shared" si="64"/>
        <v>3.0906000000000002</v>
      </c>
      <c r="F179" s="4">
        <v>0</v>
      </c>
      <c r="G179" s="4">
        <v>7.5858999999999996</v>
      </c>
      <c r="H179" s="73">
        <f t="shared" si="68"/>
        <v>10.676500000000001</v>
      </c>
      <c r="I179" s="120">
        <v>1.5606</v>
      </c>
      <c r="J179" s="72">
        <f t="shared" si="66"/>
        <v>0.37119999999999997</v>
      </c>
      <c r="K179" s="4">
        <v>0</v>
      </c>
      <c r="L179" s="4">
        <v>0.05</v>
      </c>
      <c r="M179" s="4">
        <v>3.75</v>
      </c>
      <c r="N179" s="4">
        <f>0.9937+4.2063</f>
        <v>5.1999999999999993</v>
      </c>
      <c r="O179" s="73">
        <f>SUM(J179:N179)</f>
        <v>9.3711999999999982</v>
      </c>
      <c r="AI179" s="35"/>
      <c r="AJ179" s="35"/>
      <c r="AK179" s="35"/>
    </row>
    <row r="180" spans="1:37" ht="16.899999999999999" customHeight="1" x14ac:dyDescent="0.25">
      <c r="A180" s="31" t="s">
        <v>164</v>
      </c>
      <c r="B180" s="2"/>
      <c r="C180" s="2" t="s">
        <v>315</v>
      </c>
      <c r="D180" s="3">
        <f t="shared" si="63"/>
        <v>2748.6800000000003</v>
      </c>
      <c r="E180" s="72">
        <f t="shared" si="64"/>
        <v>3.0906000000000002</v>
      </c>
      <c r="F180" s="4">
        <v>0</v>
      </c>
      <c r="G180" s="4">
        <v>7.5858999999999996</v>
      </c>
      <c r="H180" s="73">
        <f t="shared" si="68"/>
        <v>10.676500000000001</v>
      </c>
      <c r="I180" s="120">
        <v>1.5606</v>
      </c>
      <c r="J180" s="72">
        <f t="shared" si="66"/>
        <v>0.37119999999999997</v>
      </c>
      <c r="K180" s="4">
        <v>0</v>
      </c>
      <c r="L180" s="4">
        <v>0.05</v>
      </c>
      <c r="M180" s="4">
        <v>0</v>
      </c>
      <c r="N180" s="4">
        <v>4.2062999999999997</v>
      </c>
      <c r="O180" s="73">
        <f t="shared" si="67"/>
        <v>4.6274999999999995</v>
      </c>
      <c r="AI180" s="35"/>
      <c r="AJ180" s="35"/>
      <c r="AK180" s="35"/>
    </row>
    <row r="181" spans="1:37" ht="16.149999999999999" customHeight="1" x14ac:dyDescent="0.25">
      <c r="A181" s="31" t="s">
        <v>165</v>
      </c>
      <c r="B181" s="2" t="s">
        <v>0</v>
      </c>
      <c r="C181" s="2" t="s">
        <v>234</v>
      </c>
      <c r="D181" s="3">
        <f t="shared" si="63"/>
        <v>1214.04</v>
      </c>
      <c r="E181" s="72">
        <f t="shared" si="64"/>
        <v>3.0906000000000002</v>
      </c>
      <c r="F181" s="4">
        <v>0</v>
      </c>
      <c r="G181" s="4">
        <f>4.095+0.148</f>
        <v>4.2429999999999994</v>
      </c>
      <c r="H181" s="73">
        <f t="shared" si="65"/>
        <v>7.3335999999999997</v>
      </c>
      <c r="I181" s="120">
        <f>1.5606+0.074</f>
        <v>1.6346000000000001</v>
      </c>
      <c r="J181" s="72">
        <f t="shared" si="66"/>
        <v>0.37119999999999997</v>
      </c>
      <c r="K181" s="4">
        <v>0</v>
      </c>
      <c r="L181" s="4">
        <v>0</v>
      </c>
      <c r="M181" s="4">
        <v>0</v>
      </c>
      <c r="N181" s="4">
        <v>0</v>
      </c>
      <c r="O181" s="73">
        <f t="shared" si="67"/>
        <v>0.37119999999999997</v>
      </c>
      <c r="AI181" s="32"/>
      <c r="AJ181" s="32"/>
      <c r="AK181" s="32"/>
    </row>
    <row r="182" spans="1:37" ht="16.149999999999999" customHeight="1" x14ac:dyDescent="0.25">
      <c r="A182" s="31">
        <v>4101</v>
      </c>
      <c r="B182" s="2" t="s">
        <v>0</v>
      </c>
      <c r="C182" s="2" t="s">
        <v>235</v>
      </c>
      <c r="D182" s="3">
        <f t="shared" si="63"/>
        <v>1869.7399999999998</v>
      </c>
      <c r="E182" s="72">
        <f t="shared" si="64"/>
        <v>3.0906000000000002</v>
      </c>
      <c r="F182" s="4">
        <v>0</v>
      </c>
      <c r="G182" s="4">
        <f>4.095+0.148</f>
        <v>4.2429999999999994</v>
      </c>
      <c r="H182" s="73">
        <f t="shared" si="65"/>
        <v>7.3335999999999997</v>
      </c>
      <c r="I182" s="120">
        <f>1.5606+0.074</f>
        <v>1.6346000000000001</v>
      </c>
      <c r="J182" s="72">
        <f t="shared" si="66"/>
        <v>0.37119999999999997</v>
      </c>
      <c r="K182" s="4">
        <v>0</v>
      </c>
      <c r="L182" s="4">
        <v>0</v>
      </c>
      <c r="M182" s="4">
        <v>3.2785000000000002</v>
      </c>
      <c r="N182" s="4">
        <v>0</v>
      </c>
      <c r="O182" s="73">
        <f t="shared" si="67"/>
        <v>3.6497000000000002</v>
      </c>
      <c r="AI182" s="32"/>
      <c r="AJ182" s="32"/>
      <c r="AK182" s="32"/>
    </row>
    <row r="183" spans="1:37" ht="16.149999999999999" customHeight="1" x14ac:dyDescent="0.25">
      <c r="A183" s="31" t="s">
        <v>166</v>
      </c>
      <c r="B183" s="2"/>
      <c r="C183" s="2" t="s">
        <v>316</v>
      </c>
      <c r="D183" s="3">
        <f t="shared" si="63"/>
        <v>1128.5000000000002</v>
      </c>
      <c r="E183" s="72">
        <f t="shared" si="64"/>
        <v>3.0906000000000002</v>
      </c>
      <c r="F183" s="4">
        <v>0</v>
      </c>
      <c r="G183" s="4">
        <v>3.3512</v>
      </c>
      <c r="H183" s="73">
        <f t="shared" si="65"/>
        <v>6.4418000000000006</v>
      </c>
      <c r="I183" s="120">
        <v>1.5606</v>
      </c>
      <c r="J183" s="72">
        <f t="shared" si="66"/>
        <v>0.37119999999999997</v>
      </c>
      <c r="K183" s="4">
        <v>0</v>
      </c>
      <c r="L183" s="4">
        <f>0.3401+0.05</f>
        <v>0.3901</v>
      </c>
      <c r="M183" s="4">
        <v>0</v>
      </c>
      <c r="N183" s="4">
        <v>0</v>
      </c>
      <c r="O183" s="73">
        <f t="shared" si="67"/>
        <v>0.76129999999999998</v>
      </c>
      <c r="AI183" s="32"/>
      <c r="AJ183" s="32"/>
      <c r="AK183" s="32"/>
    </row>
    <row r="184" spans="1:37" ht="16.149999999999999" customHeight="1" x14ac:dyDescent="0.25">
      <c r="A184" s="31" t="s">
        <v>167</v>
      </c>
      <c r="B184" s="2"/>
      <c r="C184" s="2" t="s">
        <v>317</v>
      </c>
      <c r="D184" s="3">
        <f t="shared" si="63"/>
        <v>1128.5000000000002</v>
      </c>
      <c r="E184" s="72">
        <f t="shared" si="64"/>
        <v>3.0906000000000002</v>
      </c>
      <c r="F184" s="4">
        <v>0</v>
      </c>
      <c r="G184" s="4">
        <v>3.3512</v>
      </c>
      <c r="H184" s="73">
        <f t="shared" si="65"/>
        <v>6.4418000000000006</v>
      </c>
      <c r="I184" s="120">
        <v>1.5606</v>
      </c>
      <c r="J184" s="72">
        <f t="shared" si="66"/>
        <v>0.37119999999999997</v>
      </c>
      <c r="K184" s="4">
        <v>0</v>
      </c>
      <c r="L184" s="4">
        <f t="shared" ref="L184:L191" si="69">0.3401+0.05</f>
        <v>0.3901</v>
      </c>
      <c r="M184" s="4">
        <v>0</v>
      </c>
      <c r="N184" s="4">
        <v>0</v>
      </c>
      <c r="O184" s="73">
        <f t="shared" si="67"/>
        <v>0.76129999999999998</v>
      </c>
      <c r="AI184" s="32"/>
      <c r="AJ184" s="32"/>
      <c r="AK184" s="32"/>
    </row>
    <row r="185" spans="1:37" ht="16.149999999999999" customHeight="1" x14ac:dyDescent="0.25">
      <c r="A185" s="31" t="s">
        <v>168</v>
      </c>
      <c r="B185" s="2"/>
      <c r="C185" s="2" t="s">
        <v>318</v>
      </c>
      <c r="D185" s="3">
        <f t="shared" si="63"/>
        <v>1887.9600000000003</v>
      </c>
      <c r="E185" s="72">
        <f t="shared" si="64"/>
        <v>3.0906000000000002</v>
      </c>
      <c r="F185" s="4">
        <v>0</v>
      </c>
      <c r="G185" s="4">
        <v>3.3512</v>
      </c>
      <c r="H185" s="73">
        <f t="shared" si="65"/>
        <v>6.4418000000000006</v>
      </c>
      <c r="I185" s="120">
        <v>1.5606</v>
      </c>
      <c r="J185" s="72">
        <f t="shared" si="66"/>
        <v>0.37119999999999997</v>
      </c>
      <c r="K185" s="4">
        <v>0</v>
      </c>
      <c r="L185" s="4">
        <f t="shared" si="69"/>
        <v>0.3901</v>
      </c>
      <c r="M185" s="4">
        <f>3.6+0.1973</f>
        <v>3.7972999999999999</v>
      </c>
      <c r="N185" s="4">
        <v>0</v>
      </c>
      <c r="O185" s="73">
        <f t="shared" si="67"/>
        <v>4.5586000000000002</v>
      </c>
      <c r="AI185" s="32"/>
      <c r="AJ185" s="32"/>
      <c r="AK185" s="32"/>
    </row>
    <row r="186" spans="1:37" ht="16.149999999999999" customHeight="1" x14ac:dyDescent="0.25">
      <c r="A186" s="31" t="s">
        <v>169</v>
      </c>
      <c r="B186" s="2"/>
      <c r="C186" s="2" t="s">
        <v>319</v>
      </c>
      <c r="D186" s="3">
        <f t="shared" si="63"/>
        <v>1128.5000000000002</v>
      </c>
      <c r="E186" s="72">
        <f t="shared" si="64"/>
        <v>3.0906000000000002</v>
      </c>
      <c r="F186" s="4">
        <v>0</v>
      </c>
      <c r="G186" s="4">
        <v>3.3512</v>
      </c>
      <c r="H186" s="73">
        <f t="shared" si="65"/>
        <v>6.4418000000000006</v>
      </c>
      <c r="I186" s="120">
        <v>1.5606</v>
      </c>
      <c r="J186" s="72">
        <f t="shared" si="66"/>
        <v>0.37119999999999997</v>
      </c>
      <c r="K186" s="4">
        <v>0</v>
      </c>
      <c r="L186" s="4">
        <f t="shared" si="69"/>
        <v>0.3901</v>
      </c>
      <c r="M186" s="4">
        <v>0</v>
      </c>
      <c r="N186" s="4">
        <v>0</v>
      </c>
      <c r="O186" s="73">
        <f t="shared" si="67"/>
        <v>0.76129999999999998</v>
      </c>
      <c r="AI186" s="32"/>
      <c r="AJ186" s="32"/>
      <c r="AK186" s="32"/>
    </row>
    <row r="187" spans="1:37" ht="16.149999999999999" customHeight="1" x14ac:dyDescent="0.25">
      <c r="A187" s="31" t="s">
        <v>170</v>
      </c>
      <c r="B187" s="2"/>
      <c r="C187" s="2" t="s">
        <v>320</v>
      </c>
      <c r="D187" s="3">
        <f>(H187+O187-I187)*200</f>
        <v>1128.5000000000002</v>
      </c>
      <c r="E187" s="72">
        <f t="shared" si="64"/>
        <v>3.0906000000000002</v>
      </c>
      <c r="F187" s="4">
        <v>0</v>
      </c>
      <c r="G187" s="4">
        <v>3.3512</v>
      </c>
      <c r="H187" s="73">
        <f>SUM(E187+F187+G187)</f>
        <v>6.4418000000000006</v>
      </c>
      <c r="I187" s="120">
        <v>1.5606</v>
      </c>
      <c r="J187" s="72">
        <f t="shared" si="66"/>
        <v>0.37119999999999997</v>
      </c>
      <c r="K187" s="4">
        <v>0</v>
      </c>
      <c r="L187" s="4">
        <f t="shared" si="69"/>
        <v>0.3901</v>
      </c>
      <c r="M187" s="4">
        <v>0</v>
      </c>
      <c r="N187" s="4">
        <v>0</v>
      </c>
      <c r="O187" s="73">
        <f>SUM(J187:N187)</f>
        <v>0.76129999999999998</v>
      </c>
      <c r="AI187" s="32"/>
      <c r="AJ187" s="32"/>
      <c r="AK187" s="32"/>
    </row>
    <row r="188" spans="1:37" ht="16.149999999999999" customHeight="1" x14ac:dyDescent="0.25">
      <c r="A188" s="31" t="s">
        <v>171</v>
      </c>
      <c r="B188" s="2"/>
      <c r="C188" s="2" t="s">
        <v>321</v>
      </c>
      <c r="D188" s="3">
        <f>(H188+O188-I188)*200</f>
        <v>1910.94</v>
      </c>
      <c r="E188" s="72">
        <f t="shared" ref="E188:E202" si="70">I$6</f>
        <v>3.0906000000000002</v>
      </c>
      <c r="F188" s="4">
        <v>0</v>
      </c>
      <c r="G188" s="4">
        <v>3.3512</v>
      </c>
      <c r="H188" s="73">
        <f>SUM(E188+F188+G188)</f>
        <v>6.4418000000000006</v>
      </c>
      <c r="I188" s="120">
        <v>1.5606</v>
      </c>
      <c r="J188" s="72">
        <f t="shared" si="66"/>
        <v>0.37119999999999997</v>
      </c>
      <c r="K188" s="4">
        <v>0</v>
      </c>
      <c r="L188" s="4">
        <f t="shared" si="69"/>
        <v>0.3901</v>
      </c>
      <c r="M188" s="4">
        <f>3.58+0.3322</f>
        <v>3.9121999999999999</v>
      </c>
      <c r="N188" s="4">
        <v>0</v>
      </c>
      <c r="O188" s="73">
        <f>SUM(J188:N188)</f>
        <v>4.6734999999999998</v>
      </c>
      <c r="AI188" s="32"/>
      <c r="AJ188" s="32"/>
      <c r="AK188" s="32"/>
    </row>
    <row r="189" spans="1:37" ht="16.149999999999999" customHeight="1" x14ac:dyDescent="0.25">
      <c r="A189" s="31" t="s">
        <v>172</v>
      </c>
      <c r="B189" s="2"/>
      <c r="C189" s="2" t="s">
        <v>322</v>
      </c>
      <c r="D189" s="3">
        <f>(H189+O189-I189)*200</f>
        <v>1910.94</v>
      </c>
      <c r="E189" s="72">
        <f t="shared" si="70"/>
        <v>3.0906000000000002</v>
      </c>
      <c r="F189" s="4">
        <v>0</v>
      </c>
      <c r="G189" s="4">
        <v>3.3512</v>
      </c>
      <c r="H189" s="73">
        <f>SUM(E189+F189+G189)</f>
        <v>6.4418000000000006</v>
      </c>
      <c r="I189" s="120">
        <v>1.5606</v>
      </c>
      <c r="J189" s="72">
        <f t="shared" si="66"/>
        <v>0.37119999999999997</v>
      </c>
      <c r="K189" s="4">
        <v>0</v>
      </c>
      <c r="L189" s="4">
        <f t="shared" si="69"/>
        <v>0.3901</v>
      </c>
      <c r="M189" s="4">
        <f>3.58+0.3322</f>
        <v>3.9121999999999999</v>
      </c>
      <c r="N189" s="4">
        <v>0</v>
      </c>
      <c r="O189" s="73">
        <f>SUM(J189:N189)</f>
        <v>4.6734999999999998</v>
      </c>
      <c r="AI189" s="32"/>
      <c r="AJ189" s="32"/>
      <c r="AK189" s="32"/>
    </row>
    <row r="190" spans="1:37" ht="16.149999999999999" customHeight="1" x14ac:dyDescent="0.25">
      <c r="A190" s="31" t="s">
        <v>173</v>
      </c>
      <c r="B190" s="2" t="s">
        <v>0</v>
      </c>
      <c r="C190" s="2" t="s">
        <v>323</v>
      </c>
      <c r="D190" s="3">
        <f>(H190+O190-I190)*200</f>
        <v>1736.9799999999998</v>
      </c>
      <c r="E190" s="72">
        <f t="shared" si="70"/>
        <v>3.0906000000000002</v>
      </c>
      <c r="F190" s="4">
        <v>0</v>
      </c>
      <c r="G190" s="4">
        <v>3.3512</v>
      </c>
      <c r="H190" s="73">
        <f>SUM(E190+F190+G190)</f>
        <v>6.4418000000000006</v>
      </c>
      <c r="I190" s="120">
        <v>1.5606</v>
      </c>
      <c r="J190" s="72">
        <f t="shared" si="66"/>
        <v>0.37119999999999997</v>
      </c>
      <c r="K190" s="4">
        <v>0</v>
      </c>
      <c r="L190" s="4">
        <f t="shared" si="69"/>
        <v>0.3901</v>
      </c>
      <c r="M190" s="4">
        <f>3+0.0424</f>
        <v>3.0424000000000002</v>
      </c>
      <c r="N190" s="4">
        <v>0</v>
      </c>
      <c r="O190" s="73">
        <f>SUM(J190:N190)</f>
        <v>3.8037000000000001</v>
      </c>
      <c r="AI190" s="32"/>
      <c r="AJ190" s="32"/>
      <c r="AK190" s="32"/>
    </row>
    <row r="191" spans="1:37" ht="15.75" thickBot="1" x14ac:dyDescent="0.3">
      <c r="A191" s="33" t="s">
        <v>174</v>
      </c>
      <c r="B191" s="5"/>
      <c r="C191" s="5" t="s">
        <v>324</v>
      </c>
      <c r="D191" s="6">
        <f>(H191+O191-I191)*200</f>
        <v>1910.94</v>
      </c>
      <c r="E191" s="79">
        <f t="shared" si="70"/>
        <v>3.0906000000000002</v>
      </c>
      <c r="F191" s="7">
        <v>0</v>
      </c>
      <c r="G191" s="7">
        <v>3.3512</v>
      </c>
      <c r="H191" s="81">
        <f>SUM(E191+F191+G191)</f>
        <v>6.4418000000000006</v>
      </c>
      <c r="I191" s="123">
        <v>1.5606</v>
      </c>
      <c r="J191" s="79">
        <f t="shared" si="66"/>
        <v>0.37119999999999997</v>
      </c>
      <c r="K191" s="7">
        <v>0</v>
      </c>
      <c r="L191" s="7">
        <f t="shared" si="69"/>
        <v>0.3901</v>
      </c>
      <c r="M191" s="7">
        <f>3.58+0.3322</f>
        <v>3.9121999999999999</v>
      </c>
      <c r="N191" s="7">
        <v>0</v>
      </c>
      <c r="O191" s="81">
        <f>SUM(J191:N191)</f>
        <v>4.6734999999999998</v>
      </c>
      <c r="AI191" s="32"/>
      <c r="AJ191" s="32"/>
      <c r="AK191" s="32"/>
    </row>
    <row r="192" spans="1:37" x14ac:dyDescent="0.2">
      <c r="AI192" s="32"/>
      <c r="AJ192" s="32"/>
      <c r="AK192" s="32"/>
    </row>
    <row r="193" spans="1:37" ht="22.9" customHeight="1" x14ac:dyDescent="0.2">
      <c r="A193" s="110" t="s">
        <v>0</v>
      </c>
      <c r="M193" s="29" t="s">
        <v>0</v>
      </c>
      <c r="AI193" s="35"/>
      <c r="AJ193" s="35"/>
      <c r="AK193" s="35"/>
    </row>
    <row r="194" spans="1:37" x14ac:dyDescent="0.2">
      <c r="AI194" s="32"/>
      <c r="AJ194" s="32"/>
      <c r="AK194" s="32"/>
    </row>
    <row r="195" spans="1:37" ht="16.5" thickBot="1" x14ac:dyDescent="0.3">
      <c r="D195" s="83" t="s">
        <v>0</v>
      </c>
      <c r="E195" s="126" t="s">
        <v>12</v>
      </c>
      <c r="F195" s="126"/>
      <c r="G195" s="126"/>
      <c r="H195" s="126"/>
      <c r="I195" s="54" t="s">
        <v>0</v>
      </c>
      <c r="J195" s="126" t="s">
        <v>13</v>
      </c>
      <c r="K195" s="126"/>
      <c r="L195" s="126"/>
      <c r="M195" s="126"/>
      <c r="N195" s="126"/>
      <c r="O195" s="126"/>
      <c r="AI195" s="32"/>
      <c r="AJ195" s="32"/>
      <c r="AK195" s="32"/>
    </row>
    <row r="196" spans="1:37" x14ac:dyDescent="0.2">
      <c r="A196" s="55" t="s">
        <v>14</v>
      </c>
      <c r="B196" s="11"/>
      <c r="C196" s="11" t="s">
        <v>15</v>
      </c>
      <c r="D196" s="12" t="s">
        <v>0</v>
      </c>
      <c r="E196" s="84" t="s">
        <v>16</v>
      </c>
      <c r="F196" s="11" t="s">
        <v>17</v>
      </c>
      <c r="G196" s="11" t="s">
        <v>18</v>
      </c>
      <c r="H196" s="85" t="s">
        <v>60</v>
      </c>
      <c r="I196" s="60" t="s">
        <v>20</v>
      </c>
      <c r="J196" s="84" t="s">
        <v>16</v>
      </c>
      <c r="K196" s="11" t="s">
        <v>21</v>
      </c>
      <c r="L196" s="11" t="s">
        <v>18</v>
      </c>
      <c r="M196" s="11" t="s">
        <v>22</v>
      </c>
      <c r="N196" s="11" t="s">
        <v>23</v>
      </c>
      <c r="O196" s="85" t="s">
        <v>24</v>
      </c>
      <c r="P196" s="60"/>
      <c r="AI196" s="32"/>
      <c r="AJ196" s="32"/>
      <c r="AK196" s="32"/>
    </row>
    <row r="197" spans="1:37" x14ac:dyDescent="0.2">
      <c r="A197" s="62" t="s">
        <v>25</v>
      </c>
      <c r="B197" s="8"/>
      <c r="C197" s="8" t="s">
        <v>26</v>
      </c>
      <c r="D197" s="86" t="s">
        <v>0</v>
      </c>
      <c r="E197" s="87" t="s">
        <v>28</v>
      </c>
      <c r="F197" s="8" t="s">
        <v>29</v>
      </c>
      <c r="G197" s="88" t="s">
        <v>25</v>
      </c>
      <c r="H197" s="89" t="s">
        <v>30</v>
      </c>
      <c r="I197" s="60" t="s">
        <v>31</v>
      </c>
      <c r="J197" s="87" t="s">
        <v>28</v>
      </c>
      <c r="K197" s="8" t="s">
        <v>32</v>
      </c>
      <c r="L197" s="88" t="s">
        <v>25</v>
      </c>
      <c r="M197" s="8" t="s">
        <v>33</v>
      </c>
      <c r="N197" s="8" t="s">
        <v>33</v>
      </c>
      <c r="O197" s="89" t="s">
        <v>30</v>
      </c>
      <c r="P197" s="60"/>
      <c r="AI197" s="32"/>
      <c r="AJ197" s="32"/>
      <c r="AK197" s="32"/>
    </row>
    <row r="198" spans="1:37" x14ac:dyDescent="0.2">
      <c r="A198" s="62" t="s">
        <v>34</v>
      </c>
      <c r="B198" s="8"/>
      <c r="C198" s="8"/>
      <c r="D198" s="86" t="s">
        <v>0</v>
      </c>
      <c r="E198" s="87" t="s">
        <v>35</v>
      </c>
      <c r="F198" s="8"/>
      <c r="G198" s="8"/>
      <c r="H198" s="90"/>
      <c r="I198" s="8"/>
      <c r="J198" s="87" t="s">
        <v>35</v>
      </c>
      <c r="K198" s="8"/>
      <c r="L198" s="8"/>
      <c r="M198" s="8"/>
      <c r="N198" s="8"/>
      <c r="O198" s="90"/>
      <c r="AI198" s="32"/>
      <c r="AJ198" s="32"/>
      <c r="AK198" s="32"/>
    </row>
    <row r="199" spans="1:37" ht="15" x14ac:dyDescent="0.25">
      <c r="A199" s="31" t="s">
        <v>175</v>
      </c>
      <c r="B199" s="2"/>
      <c r="C199" s="2" t="s">
        <v>176</v>
      </c>
      <c r="D199" s="3">
        <f t="shared" ref="D199:D209" si="71">(H199+O199-I199)*200</f>
        <v>1526.3200000000002</v>
      </c>
      <c r="E199" s="72">
        <f t="shared" si="70"/>
        <v>3.0906000000000002</v>
      </c>
      <c r="F199" s="4">
        <v>0</v>
      </c>
      <c r="G199" s="4">
        <f>4.9501+1.5606</f>
        <v>6.5106999999999999</v>
      </c>
      <c r="H199" s="73">
        <f t="shared" ref="H199:H207" si="72">SUM(E199+F199+G199)</f>
        <v>9.6013000000000002</v>
      </c>
      <c r="I199" s="120">
        <f>1.5606+0.7803</f>
        <v>2.3409</v>
      </c>
      <c r="J199" s="72">
        <f t="shared" si="66"/>
        <v>0.37119999999999997</v>
      </c>
      <c r="K199" s="4">
        <v>0</v>
      </c>
      <c r="L199" s="4">
        <v>0</v>
      </c>
      <c r="M199" s="4">
        <v>0</v>
      </c>
      <c r="N199" s="4">
        <v>0</v>
      </c>
      <c r="O199" s="73">
        <f t="shared" ref="O199:O207" si="73">SUM(J199:N199)</f>
        <v>0.37119999999999997</v>
      </c>
      <c r="AI199" s="32"/>
      <c r="AJ199" s="32"/>
      <c r="AK199" s="32"/>
    </row>
    <row r="200" spans="1:37" ht="15" x14ac:dyDescent="0.25">
      <c r="A200" s="31" t="s">
        <v>177</v>
      </c>
      <c r="B200" s="2"/>
      <c r="C200" s="2" t="s">
        <v>178</v>
      </c>
      <c r="D200" s="3">
        <f t="shared" si="71"/>
        <v>1526.3200000000002</v>
      </c>
      <c r="E200" s="72">
        <f t="shared" si="70"/>
        <v>3.0906000000000002</v>
      </c>
      <c r="F200" s="4">
        <v>0</v>
      </c>
      <c r="G200" s="4">
        <f t="shared" ref="G200:G202" si="74">4.9501+1.5606</f>
        <v>6.5106999999999999</v>
      </c>
      <c r="H200" s="73">
        <f t="shared" si="72"/>
        <v>9.6013000000000002</v>
      </c>
      <c r="I200" s="120">
        <f t="shared" ref="I200:I202" si="75">1.5606+0.7803</f>
        <v>2.3409</v>
      </c>
      <c r="J200" s="72">
        <f t="shared" si="66"/>
        <v>0.37119999999999997</v>
      </c>
      <c r="K200" s="4">
        <v>0</v>
      </c>
      <c r="L200" s="4">
        <v>0</v>
      </c>
      <c r="M200" s="4">
        <v>0</v>
      </c>
      <c r="N200" s="4">
        <v>0</v>
      </c>
      <c r="O200" s="73">
        <f t="shared" si="73"/>
        <v>0.37119999999999997</v>
      </c>
      <c r="AI200" s="32"/>
      <c r="AJ200" s="32"/>
      <c r="AK200" s="32"/>
    </row>
    <row r="201" spans="1:37" ht="15" x14ac:dyDescent="0.25">
      <c r="A201" s="31" t="s">
        <v>179</v>
      </c>
      <c r="B201" s="2"/>
      <c r="C201" s="2" t="s">
        <v>349</v>
      </c>
      <c r="D201" s="3">
        <f t="shared" si="71"/>
        <v>2285.7800000000002</v>
      </c>
      <c r="E201" s="72">
        <f t="shared" si="70"/>
        <v>3.0906000000000002</v>
      </c>
      <c r="F201" s="4">
        <v>0</v>
      </c>
      <c r="G201" s="4">
        <f t="shared" si="74"/>
        <v>6.5106999999999999</v>
      </c>
      <c r="H201" s="73">
        <f t="shared" si="72"/>
        <v>9.6013000000000002</v>
      </c>
      <c r="I201" s="120">
        <f t="shared" si="75"/>
        <v>2.3409</v>
      </c>
      <c r="J201" s="72">
        <f t="shared" si="66"/>
        <v>0.37119999999999997</v>
      </c>
      <c r="K201" s="4">
        <v>0</v>
      </c>
      <c r="L201" s="4">
        <v>0</v>
      </c>
      <c r="M201" s="4">
        <f>3.6+0.1973</f>
        <v>3.7972999999999999</v>
      </c>
      <c r="N201" s="4">
        <v>0</v>
      </c>
      <c r="O201" s="73">
        <f t="shared" si="73"/>
        <v>4.1684999999999999</v>
      </c>
      <c r="AI201" s="32"/>
      <c r="AJ201" s="32"/>
      <c r="AK201" s="32"/>
    </row>
    <row r="202" spans="1:37" ht="15" x14ac:dyDescent="0.25">
      <c r="A202" s="31" t="s">
        <v>180</v>
      </c>
      <c r="B202" s="2"/>
      <c r="C202" s="2" t="s">
        <v>252</v>
      </c>
      <c r="D202" s="3">
        <f t="shared" si="71"/>
        <v>2285.7800000000002</v>
      </c>
      <c r="E202" s="72">
        <f t="shared" si="70"/>
        <v>3.0906000000000002</v>
      </c>
      <c r="F202" s="4">
        <v>0</v>
      </c>
      <c r="G202" s="4">
        <f t="shared" si="74"/>
        <v>6.5106999999999999</v>
      </c>
      <c r="H202" s="73">
        <f t="shared" si="72"/>
        <v>9.6013000000000002</v>
      </c>
      <c r="I202" s="120">
        <f t="shared" si="75"/>
        <v>2.3409</v>
      </c>
      <c r="J202" s="72">
        <f t="shared" si="66"/>
        <v>0.37119999999999997</v>
      </c>
      <c r="K202" s="4">
        <v>0</v>
      </c>
      <c r="L202" s="4">
        <v>0</v>
      </c>
      <c r="M202" s="4">
        <f>3.6+0.1973</f>
        <v>3.7972999999999999</v>
      </c>
      <c r="N202" s="4">
        <v>0</v>
      </c>
      <c r="O202" s="73">
        <f t="shared" si="73"/>
        <v>4.1684999999999999</v>
      </c>
      <c r="AI202" s="32"/>
      <c r="AJ202" s="32"/>
      <c r="AK202" s="32"/>
    </row>
    <row r="203" spans="1:37" ht="15" x14ac:dyDescent="0.25">
      <c r="A203" s="20">
        <v>5021</v>
      </c>
      <c r="B203" s="14"/>
      <c r="C203" s="14" t="s">
        <v>252</v>
      </c>
      <c r="D203" s="15">
        <f>(H204+O204-I204)*200</f>
        <v>2285.7800000000002</v>
      </c>
      <c r="E203" s="72"/>
      <c r="F203" s="4"/>
      <c r="G203" s="4"/>
      <c r="H203" s="73"/>
      <c r="I203" s="120" t="s">
        <v>0</v>
      </c>
      <c r="J203" s="72"/>
      <c r="K203" s="4"/>
      <c r="L203" s="4"/>
      <c r="M203" s="4"/>
      <c r="N203" s="4"/>
      <c r="O203" s="73"/>
      <c r="AI203" s="32"/>
      <c r="AJ203" s="32"/>
      <c r="AK203" s="32"/>
    </row>
    <row r="204" spans="1:37" ht="15" x14ac:dyDescent="0.25">
      <c r="A204" s="22"/>
      <c r="B204" s="16"/>
      <c r="C204" s="16" t="s">
        <v>255</v>
      </c>
      <c r="D204" s="17"/>
      <c r="E204" s="72">
        <f t="shared" ref="E204:E209" si="76">I$6</f>
        <v>3.0906000000000002</v>
      </c>
      <c r="F204" s="4">
        <v>0</v>
      </c>
      <c r="G204" s="4">
        <f>4.9501+1.5606</f>
        <v>6.5106999999999999</v>
      </c>
      <c r="H204" s="73">
        <f>SUM(E204+F204+G204)</f>
        <v>9.6013000000000002</v>
      </c>
      <c r="I204" s="120">
        <f>1.5606+0.7803</f>
        <v>2.3409</v>
      </c>
      <c r="J204" s="72">
        <f>O$8</f>
        <v>0.37119999999999997</v>
      </c>
      <c r="K204" s="4">
        <v>0</v>
      </c>
      <c r="L204" s="4">
        <v>0</v>
      </c>
      <c r="M204" s="4">
        <f>3.6+0.1973</f>
        <v>3.7972999999999999</v>
      </c>
      <c r="N204" s="4">
        <v>0</v>
      </c>
      <c r="O204" s="73">
        <f>SUM(J204:N204)</f>
        <v>4.1684999999999999</v>
      </c>
      <c r="AI204" s="32"/>
      <c r="AJ204" s="32"/>
      <c r="AK204" s="32"/>
    </row>
    <row r="205" spans="1:37" ht="15" x14ac:dyDescent="0.25">
      <c r="A205" s="31" t="s">
        <v>181</v>
      </c>
      <c r="B205" s="2"/>
      <c r="C205" s="2" t="s">
        <v>325</v>
      </c>
      <c r="D205" s="3">
        <f t="shared" si="71"/>
        <v>1088.04</v>
      </c>
      <c r="E205" s="72">
        <f t="shared" si="76"/>
        <v>3.0906000000000002</v>
      </c>
      <c r="F205" s="4">
        <v>0</v>
      </c>
      <c r="G205" s="4">
        <v>3.4889999999999999</v>
      </c>
      <c r="H205" s="73">
        <f t="shared" si="72"/>
        <v>6.5796000000000001</v>
      </c>
      <c r="I205" s="120">
        <v>1.5606</v>
      </c>
      <c r="J205" s="72">
        <f t="shared" si="66"/>
        <v>0.37119999999999997</v>
      </c>
      <c r="K205" s="4">
        <v>0</v>
      </c>
      <c r="L205" s="4">
        <v>0.05</v>
      </c>
      <c r="M205" s="4">
        <v>0</v>
      </c>
      <c r="N205" s="4">
        <v>0</v>
      </c>
      <c r="O205" s="73">
        <f t="shared" si="73"/>
        <v>0.42119999999999996</v>
      </c>
      <c r="P205" s="39" t="s">
        <v>0</v>
      </c>
      <c r="AI205" s="32"/>
      <c r="AJ205" s="32"/>
      <c r="AK205" s="32"/>
    </row>
    <row r="206" spans="1:37" ht="15" x14ac:dyDescent="0.25">
      <c r="A206" s="31" t="s">
        <v>182</v>
      </c>
      <c r="B206" s="2"/>
      <c r="C206" s="2" t="s">
        <v>326</v>
      </c>
      <c r="D206" s="3">
        <f t="shared" si="71"/>
        <v>1796.1399999999999</v>
      </c>
      <c r="E206" s="72">
        <f t="shared" si="76"/>
        <v>3.0906000000000002</v>
      </c>
      <c r="F206" s="4">
        <v>0</v>
      </c>
      <c r="G206" s="4">
        <v>3.4889999999999999</v>
      </c>
      <c r="H206" s="73">
        <f t="shared" si="72"/>
        <v>6.5796000000000001</v>
      </c>
      <c r="I206" s="120">
        <v>1.5606</v>
      </c>
      <c r="J206" s="72">
        <f t="shared" si="66"/>
        <v>0.37119999999999997</v>
      </c>
      <c r="K206" s="4">
        <v>0</v>
      </c>
      <c r="L206" s="4">
        <v>0.05</v>
      </c>
      <c r="M206" s="4">
        <f>3.3179+0.2226</f>
        <v>3.5404999999999998</v>
      </c>
      <c r="N206" s="4">
        <v>0</v>
      </c>
      <c r="O206" s="73">
        <f t="shared" si="73"/>
        <v>3.9616999999999996</v>
      </c>
      <c r="AI206" s="32"/>
      <c r="AJ206" s="32"/>
      <c r="AK206" s="32"/>
    </row>
    <row r="207" spans="1:37" ht="15" x14ac:dyDescent="0.25">
      <c r="A207" s="31" t="s">
        <v>183</v>
      </c>
      <c r="B207" s="2" t="s">
        <v>0</v>
      </c>
      <c r="C207" s="2" t="s">
        <v>327</v>
      </c>
      <c r="D207" s="3">
        <f t="shared" si="71"/>
        <v>1796.1399999999999</v>
      </c>
      <c r="E207" s="72">
        <f t="shared" si="76"/>
        <v>3.0906000000000002</v>
      </c>
      <c r="F207" s="4">
        <v>0</v>
      </c>
      <c r="G207" s="4">
        <v>3.4889999999999999</v>
      </c>
      <c r="H207" s="73">
        <f t="shared" si="72"/>
        <v>6.5796000000000001</v>
      </c>
      <c r="I207" s="120">
        <v>1.5606</v>
      </c>
      <c r="J207" s="72">
        <f t="shared" si="66"/>
        <v>0.37119999999999997</v>
      </c>
      <c r="K207" s="4">
        <v>0</v>
      </c>
      <c r="L207" s="4">
        <v>0.05</v>
      </c>
      <c r="M207" s="4">
        <f t="shared" ref="M207:M209" si="77">3.3179+0.2226</f>
        <v>3.5404999999999998</v>
      </c>
      <c r="N207" s="4">
        <v>0</v>
      </c>
      <c r="O207" s="73">
        <f t="shared" si="73"/>
        <v>3.9616999999999996</v>
      </c>
      <c r="AI207" s="32"/>
      <c r="AJ207" s="32"/>
      <c r="AK207" s="32"/>
    </row>
    <row r="208" spans="1:37" ht="15" x14ac:dyDescent="0.25">
      <c r="A208" s="74" t="s">
        <v>184</v>
      </c>
      <c r="B208" s="2" t="s">
        <v>0</v>
      </c>
      <c r="C208" s="2" t="s">
        <v>328</v>
      </c>
      <c r="D208" s="3">
        <f t="shared" si="71"/>
        <v>1796.1399999999999</v>
      </c>
      <c r="E208" s="72">
        <f t="shared" si="76"/>
        <v>3.0906000000000002</v>
      </c>
      <c r="F208" s="4">
        <v>0</v>
      </c>
      <c r="G208" s="4">
        <v>3.4889999999999999</v>
      </c>
      <c r="H208" s="73">
        <f>SUM(E208+F208+G208)</f>
        <v>6.5796000000000001</v>
      </c>
      <c r="I208" s="120">
        <v>1.5606</v>
      </c>
      <c r="J208" s="72">
        <f t="shared" si="66"/>
        <v>0.37119999999999997</v>
      </c>
      <c r="K208" s="4">
        <v>0</v>
      </c>
      <c r="L208" s="4">
        <v>0.05</v>
      </c>
      <c r="M208" s="4">
        <f t="shared" si="77"/>
        <v>3.5404999999999998</v>
      </c>
      <c r="N208" s="4">
        <v>0</v>
      </c>
      <c r="O208" s="73">
        <f>SUM(J208:N208)</f>
        <v>3.9616999999999996</v>
      </c>
      <c r="AI208" s="32"/>
      <c r="AJ208" s="32"/>
      <c r="AK208" s="32"/>
    </row>
    <row r="209" spans="1:37" ht="15" x14ac:dyDescent="0.25">
      <c r="A209" s="31" t="s">
        <v>185</v>
      </c>
      <c r="B209" s="111"/>
      <c r="C209" s="2" t="s">
        <v>329</v>
      </c>
      <c r="D209" s="3">
        <f t="shared" si="71"/>
        <v>1796.1399999999999</v>
      </c>
      <c r="E209" s="72">
        <f t="shared" si="76"/>
        <v>3.0906000000000002</v>
      </c>
      <c r="F209" s="4">
        <v>0</v>
      </c>
      <c r="G209" s="4">
        <v>3.4889999999999999</v>
      </c>
      <c r="H209" s="73">
        <f>SUM(E209+F209+G209)</f>
        <v>6.5796000000000001</v>
      </c>
      <c r="I209" s="120">
        <v>1.5606</v>
      </c>
      <c r="J209" s="72">
        <f t="shared" si="66"/>
        <v>0.37119999999999997</v>
      </c>
      <c r="K209" s="4">
        <v>0</v>
      </c>
      <c r="L209" s="4">
        <v>0.05</v>
      </c>
      <c r="M209" s="4">
        <f t="shared" si="77"/>
        <v>3.5404999999999998</v>
      </c>
      <c r="N209" s="4">
        <v>0</v>
      </c>
      <c r="O209" s="73">
        <f>SUM(J209:N209)</f>
        <v>3.9616999999999996</v>
      </c>
      <c r="AI209" s="32"/>
      <c r="AJ209" s="32"/>
      <c r="AK209" s="32"/>
    </row>
    <row r="210" spans="1:37" ht="13.5" customHeight="1" x14ac:dyDescent="0.25">
      <c r="A210" s="20" t="s">
        <v>186</v>
      </c>
      <c r="B210" s="116" t="s">
        <v>187</v>
      </c>
      <c r="C210" s="14" t="s">
        <v>188</v>
      </c>
      <c r="D210" s="15" t="s">
        <v>0</v>
      </c>
      <c r="E210" s="72" t="s">
        <v>0</v>
      </c>
      <c r="F210" s="4"/>
      <c r="G210" s="4"/>
      <c r="H210" s="73" t="s">
        <v>0</v>
      </c>
      <c r="I210" s="120" t="s">
        <v>0</v>
      </c>
      <c r="J210" s="72" t="s">
        <v>0</v>
      </c>
      <c r="K210" s="4"/>
      <c r="L210" s="4" t="s">
        <v>0</v>
      </c>
      <c r="M210" s="4" t="s">
        <v>0</v>
      </c>
      <c r="N210" s="4"/>
      <c r="O210" s="73"/>
      <c r="AI210" s="32"/>
      <c r="AJ210" s="32"/>
      <c r="AK210" s="32"/>
    </row>
    <row r="211" spans="1:37" ht="12.75" customHeight="1" x14ac:dyDescent="0.25">
      <c r="A211" s="23"/>
      <c r="B211" s="24"/>
      <c r="C211" s="16" t="s">
        <v>330</v>
      </c>
      <c r="D211" s="17">
        <f>(H211+O211-I211)*200</f>
        <v>1796.1399999999999</v>
      </c>
      <c r="E211" s="72">
        <f>I$6</f>
        <v>3.0906000000000002</v>
      </c>
      <c r="F211" s="4">
        <v>0</v>
      </c>
      <c r="G211" s="4">
        <v>3.4889999999999999</v>
      </c>
      <c r="H211" s="73">
        <f t="shared" ref="H211:H229" si="78">SUM(E211+F211+G211)</f>
        <v>6.5796000000000001</v>
      </c>
      <c r="I211" s="120">
        <v>1.5606</v>
      </c>
      <c r="J211" s="72">
        <f t="shared" si="66"/>
        <v>0.37119999999999997</v>
      </c>
      <c r="K211" s="4">
        <v>0</v>
      </c>
      <c r="L211" s="4">
        <v>0.05</v>
      </c>
      <c r="M211" s="4">
        <f>3.3179+0.2226</f>
        <v>3.5404999999999998</v>
      </c>
      <c r="N211" s="4">
        <v>0</v>
      </c>
      <c r="O211" s="73">
        <f t="shared" ref="O211:O229" si="79">SUM(J211:N211)</f>
        <v>3.9616999999999996</v>
      </c>
      <c r="AI211" s="32"/>
      <c r="AJ211" s="32"/>
      <c r="AK211" s="32"/>
    </row>
    <row r="212" spans="1:37" ht="14.25" customHeight="1" x14ac:dyDescent="0.25">
      <c r="A212" s="112">
        <v>5133</v>
      </c>
      <c r="B212" s="26"/>
      <c r="C212" s="14" t="s">
        <v>188</v>
      </c>
      <c r="D212" s="15"/>
      <c r="E212" s="72"/>
      <c r="F212" s="4"/>
      <c r="G212" s="4"/>
      <c r="H212" s="73"/>
      <c r="I212" s="120" t="s">
        <v>0</v>
      </c>
      <c r="J212" s="72"/>
      <c r="K212" s="4"/>
      <c r="L212" s="4"/>
      <c r="M212" s="4" t="s">
        <v>0</v>
      </c>
      <c r="N212" s="4"/>
      <c r="O212" s="73"/>
      <c r="AI212" s="32"/>
      <c r="AJ212" s="32"/>
      <c r="AK212" s="32"/>
    </row>
    <row r="213" spans="1:37" ht="12.75" customHeight="1" x14ac:dyDescent="0.25">
      <c r="A213" s="62"/>
      <c r="B213" s="24"/>
      <c r="C213" s="16" t="s">
        <v>331</v>
      </c>
      <c r="D213" s="17">
        <f>(H213+O213-I213)*200</f>
        <v>1825.9</v>
      </c>
      <c r="E213" s="72">
        <f>I$6</f>
        <v>3.0906000000000002</v>
      </c>
      <c r="F213" s="4">
        <v>0</v>
      </c>
      <c r="G213" s="4">
        <v>3.4889999999999999</v>
      </c>
      <c r="H213" s="73">
        <f>SUM(E213+F213+G213)</f>
        <v>6.5796000000000001</v>
      </c>
      <c r="I213" s="120">
        <v>1.5606</v>
      </c>
      <c r="J213" s="72">
        <f>O$8</f>
        <v>0.37119999999999997</v>
      </c>
      <c r="K213" s="4">
        <v>0</v>
      </c>
      <c r="L213" s="4">
        <v>0.05</v>
      </c>
      <c r="M213" s="4">
        <f>3.3179+0.2226</f>
        <v>3.5404999999999998</v>
      </c>
      <c r="N213" s="4">
        <v>0.14879999999999999</v>
      </c>
      <c r="O213" s="73">
        <f>SUM(J213:N213)</f>
        <v>4.1104999999999992</v>
      </c>
      <c r="AI213" s="32"/>
      <c r="AJ213" s="32"/>
      <c r="AK213" s="32"/>
    </row>
    <row r="214" spans="1:37" ht="12.75" customHeight="1" x14ac:dyDescent="0.25">
      <c r="A214" s="112">
        <v>5134</v>
      </c>
      <c r="B214" s="26"/>
      <c r="C214" s="14" t="s">
        <v>188</v>
      </c>
      <c r="D214" s="15"/>
      <c r="E214" s="72"/>
      <c r="F214" s="4"/>
      <c r="G214" s="4"/>
      <c r="H214" s="73"/>
      <c r="I214" s="120" t="s">
        <v>0</v>
      </c>
      <c r="J214" s="72"/>
      <c r="K214" s="4"/>
      <c r="L214" s="4"/>
      <c r="M214" s="4" t="s">
        <v>0</v>
      </c>
      <c r="N214" s="4"/>
      <c r="O214" s="73"/>
      <c r="AI214" s="32"/>
      <c r="AJ214" s="32"/>
      <c r="AK214" s="32"/>
    </row>
    <row r="215" spans="1:37" ht="12.75" customHeight="1" x14ac:dyDescent="0.25">
      <c r="A215" s="62"/>
      <c r="B215" s="24"/>
      <c r="C215" s="16" t="s">
        <v>332</v>
      </c>
      <c r="D215" s="17">
        <f>(H215+O215-I215)*200</f>
        <v>1806.4599999999998</v>
      </c>
      <c r="E215" s="72">
        <f>I$6</f>
        <v>3.0906000000000002</v>
      </c>
      <c r="F215" s="4">
        <v>0</v>
      </c>
      <c r="G215" s="4">
        <v>3.4889999999999999</v>
      </c>
      <c r="H215" s="73">
        <f>SUM(E215+F215+G215)</f>
        <v>6.5796000000000001</v>
      </c>
      <c r="I215" s="120">
        <v>1.5606</v>
      </c>
      <c r="J215" s="72">
        <f>O$8</f>
        <v>0.37119999999999997</v>
      </c>
      <c r="K215" s="4">
        <v>0</v>
      </c>
      <c r="L215" s="4">
        <v>0.05</v>
      </c>
      <c r="M215" s="4">
        <f>3.3179+0.2226</f>
        <v>3.5404999999999998</v>
      </c>
      <c r="N215" s="4">
        <v>5.16E-2</v>
      </c>
      <c r="O215" s="73">
        <f>SUM(J215:N215)</f>
        <v>4.0132999999999992</v>
      </c>
      <c r="AI215" s="32"/>
      <c r="AJ215" s="32"/>
      <c r="AK215" s="32"/>
    </row>
    <row r="216" spans="1:37" ht="12.75" customHeight="1" x14ac:dyDescent="0.25">
      <c r="A216" s="19" t="s">
        <v>221</v>
      </c>
      <c r="B216" s="26"/>
      <c r="C216" s="14" t="s">
        <v>222</v>
      </c>
      <c r="D216" s="9"/>
      <c r="E216" s="72"/>
      <c r="F216" s="4"/>
      <c r="G216" s="4"/>
      <c r="H216" s="73"/>
      <c r="I216" s="120" t="s">
        <v>0</v>
      </c>
      <c r="J216" s="72"/>
      <c r="K216" s="4"/>
      <c r="L216" s="4"/>
      <c r="M216" s="4" t="s">
        <v>0</v>
      </c>
      <c r="N216" s="4"/>
      <c r="O216" s="73"/>
      <c r="AI216" s="32"/>
      <c r="AJ216" s="32"/>
      <c r="AK216" s="32"/>
    </row>
    <row r="217" spans="1:37" ht="12.75" customHeight="1" x14ac:dyDescent="0.25">
      <c r="A217" s="19"/>
      <c r="B217" s="24"/>
      <c r="C217" s="16" t="s">
        <v>333</v>
      </c>
      <c r="D217" s="109">
        <f>(H217+O217-I217)*200</f>
        <v>1808.7600000000002</v>
      </c>
      <c r="E217" s="72">
        <f t="shared" ref="E217:E233" si="80">I$6</f>
        <v>3.0906000000000002</v>
      </c>
      <c r="F217" s="4">
        <v>0</v>
      </c>
      <c r="G217" s="4">
        <v>3.4889999999999999</v>
      </c>
      <c r="H217" s="73">
        <f>SUM(E217+F217+G217)</f>
        <v>6.5796000000000001</v>
      </c>
      <c r="I217" s="120">
        <v>1.5606</v>
      </c>
      <c r="J217" s="72">
        <f>O$8</f>
        <v>0.37119999999999997</v>
      </c>
      <c r="K217" s="4">
        <v>0</v>
      </c>
      <c r="L217" s="4">
        <v>0.05</v>
      </c>
      <c r="M217" s="4">
        <f>3.3179+0.2226</f>
        <v>3.5404999999999998</v>
      </c>
      <c r="N217" s="4">
        <v>6.3100000000000003E-2</v>
      </c>
      <c r="O217" s="73">
        <f>SUM(J217:N217)</f>
        <v>4.0247999999999999</v>
      </c>
      <c r="AI217" s="32"/>
      <c r="AJ217" s="32"/>
      <c r="AK217" s="32"/>
    </row>
    <row r="218" spans="1:37" ht="12.75" customHeight="1" x14ac:dyDescent="0.25">
      <c r="A218" s="19">
        <v>5136</v>
      </c>
      <c r="B218" s="26"/>
      <c r="C218" s="14" t="s">
        <v>222</v>
      </c>
      <c r="D218" s="9"/>
      <c r="E218" s="72"/>
      <c r="F218" s="4"/>
      <c r="G218" s="4"/>
      <c r="H218" s="73"/>
      <c r="I218" s="120" t="s">
        <v>0</v>
      </c>
      <c r="J218" s="72"/>
      <c r="K218" s="4"/>
      <c r="L218" s="4"/>
      <c r="M218" s="4" t="s">
        <v>0</v>
      </c>
      <c r="N218" s="4"/>
      <c r="O218" s="73"/>
      <c r="P218" s="117"/>
      <c r="AI218" s="32"/>
      <c r="AJ218" s="32"/>
      <c r="AK218" s="32"/>
    </row>
    <row r="219" spans="1:37" ht="12.75" customHeight="1" x14ac:dyDescent="0.25">
      <c r="A219" s="19"/>
      <c r="B219" s="24"/>
      <c r="C219" s="16" t="s">
        <v>362</v>
      </c>
      <c r="D219" s="109">
        <f>(H219+O219-I219)*200</f>
        <v>1977.9199999999996</v>
      </c>
      <c r="E219" s="72">
        <f t="shared" ref="E219" si="81">I$6</f>
        <v>3.0906000000000002</v>
      </c>
      <c r="F219" s="4">
        <v>0</v>
      </c>
      <c r="G219" s="4">
        <v>3.4889999999999999</v>
      </c>
      <c r="H219" s="73">
        <f>SUM(E219+F219+G219)</f>
        <v>6.5796000000000001</v>
      </c>
      <c r="I219" s="120">
        <v>1.5606</v>
      </c>
      <c r="J219" s="72">
        <f>O$8</f>
        <v>0.37119999999999997</v>
      </c>
      <c r="K219" s="4">
        <v>0</v>
      </c>
      <c r="L219" s="4">
        <v>0.05</v>
      </c>
      <c r="M219" s="4">
        <f>3.3179+0.2226</f>
        <v>3.5404999999999998</v>
      </c>
      <c r="N219" s="4">
        <v>0.90890000000000004</v>
      </c>
      <c r="O219" s="73">
        <f>SUM(J219:N219)</f>
        <v>4.8705999999999996</v>
      </c>
      <c r="P219" s="117"/>
      <c r="AI219" s="32"/>
      <c r="AJ219" s="32"/>
      <c r="AK219" s="32"/>
    </row>
    <row r="220" spans="1:37" ht="15" x14ac:dyDescent="0.25">
      <c r="A220" s="31" t="s">
        <v>189</v>
      </c>
      <c r="B220" s="2"/>
      <c r="C220" s="2" t="s">
        <v>334</v>
      </c>
      <c r="D220" s="3">
        <f t="shared" ref="D220:D229" si="82">(H220+O220-I220)*200</f>
        <v>1088.04</v>
      </c>
      <c r="E220" s="72">
        <f t="shared" si="80"/>
        <v>3.0906000000000002</v>
      </c>
      <c r="F220" s="4">
        <v>0</v>
      </c>
      <c r="G220" s="4">
        <v>3.4889999999999999</v>
      </c>
      <c r="H220" s="73">
        <f t="shared" si="78"/>
        <v>6.5796000000000001</v>
      </c>
      <c r="I220" s="120">
        <v>1.5606</v>
      </c>
      <c r="J220" s="72">
        <f t="shared" si="66"/>
        <v>0.37119999999999997</v>
      </c>
      <c r="K220" s="4">
        <v>0</v>
      </c>
      <c r="L220" s="4">
        <v>0.05</v>
      </c>
      <c r="M220" s="4">
        <v>0</v>
      </c>
      <c r="N220" s="4">
        <v>0</v>
      </c>
      <c r="O220" s="73">
        <f t="shared" si="79"/>
        <v>0.42119999999999996</v>
      </c>
      <c r="AI220" s="32"/>
      <c r="AJ220" s="32"/>
      <c r="AK220" s="32"/>
    </row>
    <row r="221" spans="1:37" ht="15" x14ac:dyDescent="0.25">
      <c r="A221" s="31" t="s">
        <v>190</v>
      </c>
      <c r="B221" s="2" t="s">
        <v>0</v>
      </c>
      <c r="C221" s="2" t="s">
        <v>334</v>
      </c>
      <c r="D221" s="3">
        <f t="shared" si="82"/>
        <v>1088.04</v>
      </c>
      <c r="E221" s="72">
        <f t="shared" si="80"/>
        <v>3.0906000000000002</v>
      </c>
      <c r="F221" s="4">
        <v>0</v>
      </c>
      <c r="G221" s="4">
        <v>3.4889999999999999</v>
      </c>
      <c r="H221" s="73">
        <f t="shared" si="78"/>
        <v>6.5796000000000001</v>
      </c>
      <c r="I221" s="120">
        <v>1.5606</v>
      </c>
      <c r="J221" s="72">
        <f t="shared" si="66"/>
        <v>0.37119999999999997</v>
      </c>
      <c r="K221" s="4">
        <v>0</v>
      </c>
      <c r="L221" s="4">
        <v>0.05</v>
      </c>
      <c r="M221" s="4">
        <v>0</v>
      </c>
      <c r="N221" s="4">
        <v>0</v>
      </c>
      <c r="O221" s="73">
        <f t="shared" si="79"/>
        <v>0.42119999999999996</v>
      </c>
      <c r="AI221" s="32"/>
      <c r="AJ221" s="32"/>
      <c r="AK221" s="32"/>
    </row>
    <row r="222" spans="1:37" ht="15" x14ac:dyDescent="0.25">
      <c r="A222" s="31" t="s">
        <v>191</v>
      </c>
      <c r="B222" s="2"/>
      <c r="C222" s="2" t="s">
        <v>335</v>
      </c>
      <c r="D222" s="3">
        <f t="shared" si="82"/>
        <v>1088.04</v>
      </c>
      <c r="E222" s="72">
        <f t="shared" si="80"/>
        <v>3.0906000000000002</v>
      </c>
      <c r="F222" s="4">
        <v>0</v>
      </c>
      <c r="G222" s="4">
        <v>3.4889999999999999</v>
      </c>
      <c r="H222" s="73">
        <f t="shared" si="78"/>
        <v>6.5796000000000001</v>
      </c>
      <c r="I222" s="120">
        <v>1.5606</v>
      </c>
      <c r="J222" s="72">
        <f t="shared" si="66"/>
        <v>0.37119999999999997</v>
      </c>
      <c r="K222" s="4">
        <v>0</v>
      </c>
      <c r="L222" s="4">
        <v>0.05</v>
      </c>
      <c r="M222" s="4">
        <v>0</v>
      </c>
      <c r="N222" s="4">
        <v>0</v>
      </c>
      <c r="O222" s="73">
        <f t="shared" si="79"/>
        <v>0.42119999999999996</v>
      </c>
      <c r="AI222" s="32"/>
      <c r="AJ222" s="32"/>
      <c r="AK222" s="32"/>
    </row>
    <row r="223" spans="1:37" ht="15" x14ac:dyDescent="0.25">
      <c r="A223" s="31" t="s">
        <v>192</v>
      </c>
      <c r="B223" s="2"/>
      <c r="C223" s="2" t="s">
        <v>336</v>
      </c>
      <c r="D223" s="3">
        <f t="shared" si="82"/>
        <v>1134.6199999999999</v>
      </c>
      <c r="E223" s="72">
        <f t="shared" si="80"/>
        <v>3.0906000000000002</v>
      </c>
      <c r="F223" s="4">
        <v>0.2329</v>
      </c>
      <c r="G223" s="4">
        <v>3.4889999999999999</v>
      </c>
      <c r="H223" s="73">
        <f t="shared" si="78"/>
        <v>6.8125</v>
      </c>
      <c r="I223" s="120">
        <v>1.5606</v>
      </c>
      <c r="J223" s="72">
        <f t="shared" si="66"/>
        <v>0.37119999999999997</v>
      </c>
      <c r="K223" s="4">
        <v>0</v>
      </c>
      <c r="L223" s="4">
        <v>0.05</v>
      </c>
      <c r="M223" s="4">
        <v>0</v>
      </c>
      <c r="N223" s="4">
        <v>0</v>
      </c>
      <c r="O223" s="73">
        <f t="shared" si="79"/>
        <v>0.42119999999999996</v>
      </c>
      <c r="AI223" s="32"/>
      <c r="AJ223" s="32"/>
      <c r="AK223" s="32"/>
    </row>
    <row r="224" spans="1:37" ht="15" x14ac:dyDescent="0.25">
      <c r="A224" s="31" t="s">
        <v>193</v>
      </c>
      <c r="B224" s="111"/>
      <c r="C224" s="2" t="s">
        <v>337</v>
      </c>
      <c r="D224" s="3">
        <f t="shared" si="82"/>
        <v>1696.5200000000002</v>
      </c>
      <c r="E224" s="72">
        <f t="shared" si="80"/>
        <v>3.0906000000000002</v>
      </c>
      <c r="F224" s="4">
        <v>0</v>
      </c>
      <c r="G224" s="4">
        <v>3.4889999999999999</v>
      </c>
      <c r="H224" s="73">
        <f t="shared" si="78"/>
        <v>6.5796000000000001</v>
      </c>
      <c r="I224" s="120">
        <v>1.5606</v>
      </c>
      <c r="J224" s="72">
        <f t="shared" si="66"/>
        <v>0.37119999999999997</v>
      </c>
      <c r="K224" s="4">
        <v>0</v>
      </c>
      <c r="L224" s="4">
        <v>0.05</v>
      </c>
      <c r="M224" s="4">
        <f>3+0.0424</f>
        <v>3.0424000000000002</v>
      </c>
      <c r="N224" s="4">
        <v>0</v>
      </c>
      <c r="O224" s="73">
        <f t="shared" si="79"/>
        <v>3.4636</v>
      </c>
      <c r="AI224" s="35"/>
      <c r="AJ224" s="35"/>
      <c r="AK224" s="35"/>
    </row>
    <row r="225" spans="1:37" ht="15" x14ac:dyDescent="0.25">
      <c r="A225" s="31" t="s">
        <v>194</v>
      </c>
      <c r="B225" s="2"/>
      <c r="C225" s="2" t="s">
        <v>195</v>
      </c>
      <c r="D225" s="3">
        <f t="shared" si="82"/>
        <v>1593.7399999999998</v>
      </c>
      <c r="E225" s="72">
        <f t="shared" si="80"/>
        <v>3.0906000000000002</v>
      </c>
      <c r="F225" s="4">
        <v>0</v>
      </c>
      <c r="G225" s="4">
        <f>5.7189+0.6971</f>
        <v>6.4159999999999995</v>
      </c>
      <c r="H225" s="73">
        <f t="shared" si="78"/>
        <v>9.5065999999999988</v>
      </c>
      <c r="I225" s="120">
        <f>1.5606+0.3485</f>
        <v>1.9091</v>
      </c>
      <c r="J225" s="72">
        <f t="shared" si="66"/>
        <v>0.37119999999999997</v>
      </c>
      <c r="K225" s="4">
        <v>0</v>
      </c>
      <c r="L225" s="4">
        <v>0</v>
      </c>
      <c r="M225" s="4">
        <v>0</v>
      </c>
      <c r="N225" s="4">
        <v>0</v>
      </c>
      <c r="O225" s="73">
        <f t="shared" si="79"/>
        <v>0.37119999999999997</v>
      </c>
      <c r="AI225" s="32"/>
      <c r="AJ225" s="32"/>
      <c r="AK225" s="32"/>
    </row>
    <row r="226" spans="1:37" ht="15" x14ac:dyDescent="0.25">
      <c r="A226" s="74" t="s">
        <v>196</v>
      </c>
      <c r="B226" s="2"/>
      <c r="C226" s="2" t="s">
        <v>197</v>
      </c>
      <c r="D226" s="3">
        <f t="shared" si="82"/>
        <v>2343.7399999999998</v>
      </c>
      <c r="E226" s="72">
        <f t="shared" si="80"/>
        <v>3.0906000000000002</v>
      </c>
      <c r="F226" s="4">
        <v>0</v>
      </c>
      <c r="G226" s="4">
        <f t="shared" ref="G226:G228" si="83">5.7189+0.6971</f>
        <v>6.4159999999999995</v>
      </c>
      <c r="H226" s="73">
        <f t="shared" si="78"/>
        <v>9.5065999999999988</v>
      </c>
      <c r="I226" s="120">
        <f t="shared" ref="I226:I228" si="84">1.5606+0.3485</f>
        <v>1.9091</v>
      </c>
      <c r="J226" s="72">
        <f t="shared" si="66"/>
        <v>0.37119999999999997</v>
      </c>
      <c r="K226" s="4">
        <v>0</v>
      </c>
      <c r="L226" s="4">
        <v>0</v>
      </c>
      <c r="M226" s="4">
        <v>3.75</v>
      </c>
      <c r="N226" s="4">
        <v>0</v>
      </c>
      <c r="O226" s="73">
        <f>SUM(J226:N226)</f>
        <v>4.1212</v>
      </c>
      <c r="AI226" s="32"/>
      <c r="AJ226" s="32"/>
      <c r="AK226" s="32"/>
    </row>
    <row r="227" spans="1:37" ht="15" x14ac:dyDescent="0.25">
      <c r="A227" s="31" t="s">
        <v>198</v>
      </c>
      <c r="B227" s="2"/>
      <c r="C227" s="2" t="s">
        <v>199</v>
      </c>
      <c r="D227" s="3">
        <f t="shared" si="82"/>
        <v>2343.7399999999998</v>
      </c>
      <c r="E227" s="72">
        <f t="shared" si="80"/>
        <v>3.0906000000000002</v>
      </c>
      <c r="F227" s="4">
        <v>0</v>
      </c>
      <c r="G227" s="4">
        <f t="shared" si="83"/>
        <v>6.4159999999999995</v>
      </c>
      <c r="H227" s="73">
        <f t="shared" si="78"/>
        <v>9.5065999999999988</v>
      </c>
      <c r="I227" s="120">
        <f t="shared" si="84"/>
        <v>1.9091</v>
      </c>
      <c r="J227" s="72">
        <f t="shared" si="66"/>
        <v>0.37119999999999997</v>
      </c>
      <c r="K227" s="4">
        <v>0</v>
      </c>
      <c r="L227" s="4">
        <v>0</v>
      </c>
      <c r="M227" s="4">
        <v>3.75</v>
      </c>
      <c r="N227" s="4">
        <v>0</v>
      </c>
      <c r="O227" s="73">
        <f t="shared" si="79"/>
        <v>4.1212</v>
      </c>
      <c r="AI227" s="32"/>
      <c r="AJ227" s="32"/>
      <c r="AK227" s="32"/>
    </row>
    <row r="228" spans="1:37" ht="15" x14ac:dyDescent="0.25">
      <c r="A228" s="31" t="s">
        <v>200</v>
      </c>
      <c r="B228" s="2"/>
      <c r="C228" s="2" t="s">
        <v>201</v>
      </c>
      <c r="D228" s="3">
        <f t="shared" si="82"/>
        <v>2444.4999999999995</v>
      </c>
      <c r="E228" s="72">
        <f t="shared" si="80"/>
        <v>3.0906000000000002</v>
      </c>
      <c r="F228" s="4">
        <v>0</v>
      </c>
      <c r="G228" s="4">
        <f t="shared" si="83"/>
        <v>6.4159999999999995</v>
      </c>
      <c r="H228" s="73">
        <f t="shared" si="78"/>
        <v>9.5065999999999988</v>
      </c>
      <c r="I228" s="120">
        <f t="shared" si="84"/>
        <v>1.9091</v>
      </c>
      <c r="J228" s="72">
        <f t="shared" si="66"/>
        <v>0.37119999999999997</v>
      </c>
      <c r="K228" s="4">
        <v>0</v>
      </c>
      <c r="L228" s="4">
        <v>0</v>
      </c>
      <c r="M228" s="4">
        <v>3.75</v>
      </c>
      <c r="N228" s="4">
        <v>0.50380000000000003</v>
      </c>
      <c r="O228" s="73">
        <f t="shared" si="79"/>
        <v>4.625</v>
      </c>
      <c r="AI228" s="32"/>
      <c r="AJ228" s="32"/>
      <c r="AK228" s="32"/>
    </row>
    <row r="229" spans="1:37" s="29" customFormat="1" ht="15" x14ac:dyDescent="0.25">
      <c r="A229" s="31" t="s">
        <v>202</v>
      </c>
      <c r="B229" s="2"/>
      <c r="C229" s="2" t="s">
        <v>338</v>
      </c>
      <c r="D229" s="3">
        <f t="shared" si="82"/>
        <v>1084.9400000000003</v>
      </c>
      <c r="E229" s="72">
        <f t="shared" si="80"/>
        <v>3.0906000000000002</v>
      </c>
      <c r="F229" s="4">
        <v>0</v>
      </c>
      <c r="G229" s="4">
        <v>2.4365000000000001</v>
      </c>
      <c r="H229" s="91">
        <f t="shared" si="78"/>
        <v>5.5271000000000008</v>
      </c>
      <c r="I229" s="120">
        <v>1.2181999999999999</v>
      </c>
      <c r="J229" s="72">
        <f t="shared" si="66"/>
        <v>0.37119999999999997</v>
      </c>
      <c r="K229" s="4">
        <v>0</v>
      </c>
      <c r="L229" s="4">
        <f>0.2455+0.3176+0.05+0.1315</f>
        <v>0.74459999999999993</v>
      </c>
      <c r="M229" s="4">
        <v>0</v>
      </c>
      <c r="N229" s="4">
        <v>0</v>
      </c>
      <c r="O229" s="73">
        <f t="shared" si="79"/>
        <v>1.1157999999999999</v>
      </c>
    </row>
    <row r="230" spans="1:37" s="29" customFormat="1" ht="15" x14ac:dyDescent="0.25">
      <c r="A230" s="20" t="s">
        <v>203</v>
      </c>
      <c r="B230" s="14"/>
      <c r="C230" s="14" t="s">
        <v>339</v>
      </c>
      <c r="D230" s="15">
        <f>(H230+O230-I230)*200</f>
        <v>1453.7000000000003</v>
      </c>
      <c r="E230" s="101">
        <f t="shared" si="80"/>
        <v>3.0906000000000002</v>
      </c>
      <c r="F230" s="118">
        <v>0</v>
      </c>
      <c r="G230" s="4">
        <v>2.4365000000000001</v>
      </c>
      <c r="H230" s="96">
        <f>SUM(E230+F230+G230)</f>
        <v>5.5271000000000008</v>
      </c>
      <c r="I230" s="120">
        <v>1.2181999999999999</v>
      </c>
      <c r="J230" s="101">
        <f t="shared" si="66"/>
        <v>0.37119999999999997</v>
      </c>
      <c r="K230" s="118">
        <v>0</v>
      </c>
      <c r="L230" s="4">
        <f t="shared" ref="L230:L232" si="85">0.2455+0.3176+0.05+0.1315</f>
        <v>0.74459999999999993</v>
      </c>
      <c r="M230" s="118">
        <v>1.8438000000000001</v>
      </c>
      <c r="N230" s="118">
        <v>0</v>
      </c>
      <c r="O230" s="97">
        <f>SUM(J230:N230)</f>
        <v>2.9596</v>
      </c>
      <c r="AI230" s="32"/>
      <c r="AJ230" s="32"/>
      <c r="AK230" s="32"/>
    </row>
    <row r="231" spans="1:37" s="29" customFormat="1" ht="15" x14ac:dyDescent="0.25">
      <c r="A231" s="20">
        <v>9002</v>
      </c>
      <c r="B231" s="30"/>
      <c r="C231" s="14" t="s">
        <v>340</v>
      </c>
      <c r="D231" s="15">
        <f>(H231+O231-I231)*200</f>
        <v>1372.9399999999998</v>
      </c>
      <c r="E231" s="101">
        <f t="shared" si="80"/>
        <v>3.0906000000000002</v>
      </c>
      <c r="F231" s="119">
        <v>0.28999999999999998</v>
      </c>
      <c r="G231" s="4">
        <v>2.4365000000000001</v>
      </c>
      <c r="H231" s="102">
        <f>SUM(E231+F231+G231)</f>
        <v>5.8170999999999999</v>
      </c>
      <c r="I231" s="120">
        <v>1.2181999999999999</v>
      </c>
      <c r="J231" s="101">
        <f>O$8</f>
        <v>0.37119999999999997</v>
      </c>
      <c r="K231" s="119">
        <v>1.1499999999999999</v>
      </c>
      <c r="L231" s="4">
        <f t="shared" si="85"/>
        <v>0.74459999999999993</v>
      </c>
      <c r="M231" s="119">
        <v>0</v>
      </c>
      <c r="N231" s="119">
        <v>0</v>
      </c>
      <c r="O231" s="103">
        <f>SUM(J231:N231)</f>
        <v>2.2657999999999996</v>
      </c>
    </row>
    <row r="232" spans="1:37" s="29" customFormat="1" ht="15" x14ac:dyDescent="0.25">
      <c r="A232" s="20">
        <v>9003</v>
      </c>
      <c r="B232" s="30"/>
      <c r="C232" s="14" t="s">
        <v>341</v>
      </c>
      <c r="D232" s="15"/>
      <c r="E232" s="101">
        <f>I$6</f>
        <v>3.0906000000000002</v>
      </c>
      <c r="F232" s="119">
        <v>0.3997</v>
      </c>
      <c r="G232" s="4">
        <v>2.4365000000000001</v>
      </c>
      <c r="H232" s="102">
        <f>SUM(E232+F232+G232)</f>
        <v>5.9268000000000001</v>
      </c>
      <c r="I232" s="120">
        <v>1.2181999999999999</v>
      </c>
      <c r="J232" s="101">
        <f>O$8</f>
        <v>0.37119999999999997</v>
      </c>
      <c r="K232" s="119">
        <v>0</v>
      </c>
      <c r="L232" s="4">
        <f t="shared" si="85"/>
        <v>0.74459999999999993</v>
      </c>
      <c r="M232" s="119">
        <v>0</v>
      </c>
      <c r="N232" s="119">
        <v>0</v>
      </c>
      <c r="O232" s="103">
        <f>SUM(J232:N232)</f>
        <v>1.1157999999999999</v>
      </c>
    </row>
    <row r="233" spans="1:37" s="29" customFormat="1" ht="15.75" thickBot="1" x14ac:dyDescent="0.3">
      <c r="A233" s="33">
        <v>9004</v>
      </c>
      <c r="B233" s="34"/>
      <c r="C233" s="5" t="s">
        <v>357</v>
      </c>
      <c r="D233" s="6">
        <f>(H233+O233-I233)*200</f>
        <v>946.02</v>
      </c>
      <c r="E233" s="79">
        <f t="shared" si="80"/>
        <v>3.0906000000000002</v>
      </c>
      <c r="F233" s="7">
        <v>0</v>
      </c>
      <c r="G233" s="7">
        <v>2.4365000000000001</v>
      </c>
      <c r="H233" s="80">
        <f>SUM(E233+F233+G233)</f>
        <v>5.5271000000000008</v>
      </c>
      <c r="I233" s="123">
        <v>1.2181999999999999</v>
      </c>
      <c r="J233" s="79">
        <f>O$8</f>
        <v>0.37119999999999997</v>
      </c>
      <c r="K233" s="7">
        <v>0</v>
      </c>
      <c r="L233" s="7">
        <v>0.05</v>
      </c>
      <c r="M233" s="7">
        <v>0</v>
      </c>
      <c r="N233" s="7">
        <v>0</v>
      </c>
      <c r="O233" s="81">
        <f>SUM(J233:N233)</f>
        <v>0.42119999999999996</v>
      </c>
    </row>
    <row r="234" spans="1:37" x14ac:dyDescent="0.2">
      <c r="A234" s="35" t="s">
        <v>204</v>
      </c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AI234" s="32"/>
      <c r="AJ234" s="32"/>
      <c r="AK234" s="32"/>
    </row>
    <row r="235" spans="1:37" x14ac:dyDescent="0.2">
      <c r="A235" s="35" t="s">
        <v>358</v>
      </c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AI235" s="32"/>
      <c r="AJ235" s="32"/>
      <c r="AK235" s="32"/>
    </row>
    <row r="236" spans="1:37" x14ac:dyDescent="0.2">
      <c r="A236" s="35" t="s">
        <v>354</v>
      </c>
      <c r="H236" s="35"/>
      <c r="I236" s="35"/>
      <c r="J236" s="35"/>
      <c r="K236" s="35"/>
      <c r="L236" s="35"/>
      <c r="M236" s="35"/>
      <c r="N236" s="35"/>
      <c r="O236" s="35"/>
      <c r="AI236" s="32"/>
      <c r="AJ236" s="32"/>
      <c r="AK236" s="32"/>
    </row>
    <row r="237" spans="1:37" x14ac:dyDescent="0.2">
      <c r="A237" s="48" t="s">
        <v>205</v>
      </c>
      <c r="B237" s="35"/>
      <c r="C237" s="35"/>
      <c r="D237" s="35"/>
      <c r="E237" s="35"/>
      <c r="F237" s="35"/>
      <c r="G237" s="35"/>
      <c r="AI237" s="32"/>
      <c r="AJ237" s="32"/>
      <c r="AK237" s="32"/>
    </row>
    <row r="238" spans="1:37" x14ac:dyDescent="0.2">
      <c r="A238" s="35" t="s">
        <v>244</v>
      </c>
      <c r="H238" s="35"/>
      <c r="I238" s="35"/>
      <c r="J238" s="35"/>
      <c r="K238" s="35"/>
      <c r="L238" s="35"/>
      <c r="M238" s="35"/>
      <c r="N238" s="35"/>
      <c r="O238" s="35"/>
      <c r="AI238" s="32"/>
      <c r="AJ238" s="32"/>
      <c r="AK238" s="32"/>
    </row>
    <row r="239" spans="1:37" x14ac:dyDescent="0.2">
      <c r="A239" s="35" t="s">
        <v>206</v>
      </c>
      <c r="E239" s="48"/>
      <c r="F239" s="48"/>
      <c r="G239" s="48"/>
      <c r="H239" s="35"/>
      <c r="I239" s="35"/>
      <c r="J239" s="35"/>
      <c r="K239" s="35"/>
      <c r="L239" s="35"/>
      <c r="M239" s="35"/>
      <c r="N239" s="8"/>
      <c r="Z239" s="35"/>
      <c r="AA239" s="35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</row>
    <row r="240" spans="1:37" x14ac:dyDescent="0.2">
      <c r="A240" s="48" t="s">
        <v>207</v>
      </c>
      <c r="B240" s="48"/>
      <c r="C240" s="48"/>
      <c r="D240" s="35"/>
      <c r="E240" s="48"/>
      <c r="F240" s="48"/>
      <c r="G240" s="48"/>
      <c r="Z240" s="35"/>
      <c r="AA240" s="35"/>
      <c r="AB240" s="35"/>
      <c r="AC240" s="32"/>
      <c r="AD240" s="32"/>
      <c r="AE240" s="35"/>
      <c r="AF240" s="32"/>
      <c r="AG240" s="35"/>
      <c r="AH240" s="35"/>
      <c r="AI240" s="32"/>
      <c r="AJ240" s="32"/>
      <c r="AK240" s="32"/>
    </row>
    <row r="241" spans="1:45" x14ac:dyDescent="0.2">
      <c r="A241" s="48" t="s">
        <v>208</v>
      </c>
      <c r="E241" s="48"/>
      <c r="F241" s="48"/>
      <c r="G241" s="48"/>
      <c r="Z241" s="35"/>
      <c r="AA241" s="35"/>
      <c r="AB241" s="35"/>
      <c r="AC241" s="32"/>
      <c r="AD241" s="32"/>
      <c r="AE241" s="35"/>
      <c r="AF241" s="32"/>
      <c r="AG241" s="35"/>
      <c r="AH241" s="35"/>
      <c r="AI241" s="35"/>
      <c r="AJ241" s="35"/>
      <c r="AK241" s="32"/>
    </row>
    <row r="242" spans="1:45" x14ac:dyDescent="0.2">
      <c r="A242" s="48" t="s">
        <v>209</v>
      </c>
      <c r="B242" s="48"/>
      <c r="C242" s="48"/>
      <c r="E242" s="48"/>
      <c r="F242" s="48"/>
      <c r="G242" s="48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2"/>
    </row>
    <row r="243" spans="1:45" x14ac:dyDescent="0.2">
      <c r="A243" s="35" t="s">
        <v>256</v>
      </c>
      <c r="F243" s="48"/>
      <c r="G243" s="48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</row>
    <row r="244" spans="1:45" x14ac:dyDescent="0.2">
      <c r="A244" s="35" t="s">
        <v>360</v>
      </c>
      <c r="N244" s="8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O244" s="21"/>
    </row>
    <row r="245" spans="1:45" x14ac:dyDescent="0.2">
      <c r="N245" s="8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P245" s="39" t="s">
        <v>0</v>
      </c>
    </row>
    <row r="246" spans="1:45" x14ac:dyDescent="0.2">
      <c r="N246" s="8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O246" s="21"/>
      <c r="AS246" s="21"/>
    </row>
    <row r="247" spans="1:45" x14ac:dyDescent="0.2">
      <c r="A247" s="113" t="s">
        <v>0</v>
      </c>
      <c r="N247" s="8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O247" s="21"/>
      <c r="AP247" s="39" t="s">
        <v>0</v>
      </c>
      <c r="AS247" s="21"/>
    </row>
    <row r="248" spans="1:45" x14ac:dyDescent="0.2">
      <c r="N248" s="8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O248" s="21"/>
      <c r="AP248" s="39" t="s">
        <v>0</v>
      </c>
      <c r="AS248" s="21"/>
    </row>
    <row r="249" spans="1:45" x14ac:dyDescent="0.2">
      <c r="N249" s="8"/>
      <c r="AI249" s="35"/>
      <c r="AJ249" s="35"/>
      <c r="AK249" s="35"/>
      <c r="AL249" s="35"/>
      <c r="AO249" s="21"/>
      <c r="AP249" s="39" t="s">
        <v>0</v>
      </c>
      <c r="AS249" s="21"/>
    </row>
    <row r="250" spans="1:45" x14ac:dyDescent="0.2">
      <c r="N250" s="8"/>
      <c r="AO250" s="21"/>
      <c r="AP250" s="39" t="s">
        <v>0</v>
      </c>
      <c r="AS250" s="21"/>
    </row>
    <row r="251" spans="1:45" x14ac:dyDescent="0.2">
      <c r="C251" s="114" t="s">
        <v>0</v>
      </c>
      <c r="N251" s="8"/>
      <c r="AO251" s="21"/>
      <c r="AP251" s="39" t="s">
        <v>0</v>
      </c>
      <c r="AS251" s="21"/>
    </row>
    <row r="252" spans="1:45" x14ac:dyDescent="0.2">
      <c r="N252" s="8"/>
      <c r="AO252" s="21"/>
      <c r="AS252" s="21"/>
    </row>
    <row r="253" spans="1:45" x14ac:dyDescent="0.2">
      <c r="N253" s="8"/>
      <c r="AO253" s="21"/>
      <c r="AP253" s="39" t="s">
        <v>0</v>
      </c>
      <c r="AS253" s="21"/>
    </row>
    <row r="254" spans="1:45" x14ac:dyDescent="0.2">
      <c r="N254" s="8"/>
      <c r="AP254" s="39" t="s">
        <v>0</v>
      </c>
      <c r="AS254" s="21"/>
    </row>
    <row r="255" spans="1:45" x14ac:dyDescent="0.2">
      <c r="N255" s="8"/>
      <c r="AS255" s="21"/>
    </row>
    <row r="256" spans="1:45" x14ac:dyDescent="0.2">
      <c r="N256" s="8"/>
      <c r="AP256" s="39" t="s">
        <v>0</v>
      </c>
      <c r="AS256" s="21"/>
    </row>
    <row r="257" spans="2:45" x14ac:dyDescent="0.2">
      <c r="N257" s="8"/>
      <c r="AP257" s="39" t="s">
        <v>0</v>
      </c>
      <c r="AS257" s="21"/>
    </row>
    <row r="258" spans="2:45" x14ac:dyDescent="0.2">
      <c r="N258" s="8"/>
      <c r="AP258" s="39" t="s">
        <v>0</v>
      </c>
      <c r="AS258" s="21"/>
    </row>
    <row r="259" spans="2:45" x14ac:dyDescent="0.2">
      <c r="N259" s="8"/>
    </row>
    <row r="260" spans="2:45" x14ac:dyDescent="0.2">
      <c r="N260" s="8"/>
    </row>
    <row r="261" spans="2:45" x14ac:dyDescent="0.2">
      <c r="N261" s="8"/>
      <c r="AO261" s="21"/>
    </row>
    <row r="262" spans="2:45" x14ac:dyDescent="0.2">
      <c r="N262" s="8"/>
      <c r="AO262" s="21"/>
    </row>
    <row r="263" spans="2:45" x14ac:dyDescent="0.2">
      <c r="N263" s="8"/>
      <c r="AO263" s="21"/>
    </row>
    <row r="264" spans="2:45" x14ac:dyDescent="0.2">
      <c r="N264" s="8"/>
    </row>
    <row r="265" spans="2:45" x14ac:dyDescent="0.2">
      <c r="N265" s="8"/>
    </row>
    <row r="266" spans="2:45" x14ac:dyDescent="0.2">
      <c r="N266" s="8"/>
    </row>
    <row r="267" spans="2:45" x14ac:dyDescent="0.2">
      <c r="AO267" s="21"/>
    </row>
    <row r="268" spans="2:45" x14ac:dyDescent="0.2">
      <c r="N268" s="8"/>
      <c r="Q268" s="21"/>
      <c r="R268" s="21"/>
      <c r="S268" s="21"/>
      <c r="T268" s="21"/>
      <c r="U268" s="21"/>
      <c r="V268" s="21"/>
      <c r="W268" s="21"/>
      <c r="X268" s="21"/>
      <c r="Y268" s="21"/>
      <c r="AO268" s="21"/>
      <c r="AP268" s="21"/>
      <c r="AQ268" s="21"/>
      <c r="AR268" s="21"/>
    </row>
    <row r="269" spans="2:45" ht="20.25" x14ac:dyDescent="0.3">
      <c r="B269" s="115"/>
      <c r="N269" s="8"/>
      <c r="Q269" s="21"/>
      <c r="R269" s="21"/>
      <c r="S269" s="21"/>
      <c r="T269" s="21"/>
      <c r="U269" s="21"/>
      <c r="V269" s="21"/>
      <c r="W269" s="21"/>
      <c r="X269" s="21"/>
      <c r="Y269" s="21"/>
      <c r="AO269" s="21"/>
      <c r="AP269" s="21"/>
      <c r="AQ269" s="21"/>
      <c r="AR269" s="21"/>
    </row>
    <row r="270" spans="2:45" ht="20.25" x14ac:dyDescent="0.3">
      <c r="B270" s="115"/>
      <c r="Q270" s="21"/>
      <c r="R270" s="21"/>
      <c r="S270" s="21"/>
      <c r="T270" s="21"/>
      <c r="U270" s="21"/>
      <c r="V270" s="21"/>
      <c r="W270" s="21"/>
      <c r="X270" s="21"/>
      <c r="Y270" s="21"/>
      <c r="AO270" s="21"/>
      <c r="AP270" s="21"/>
      <c r="AQ270" s="21"/>
      <c r="AR270" s="21"/>
    </row>
    <row r="271" spans="2:45" ht="20.25" x14ac:dyDescent="0.3">
      <c r="B271" s="115"/>
      <c r="Q271" s="21"/>
      <c r="R271" s="21"/>
      <c r="S271" s="21"/>
      <c r="T271" s="21"/>
      <c r="U271" s="21"/>
      <c r="V271" s="21"/>
      <c r="W271" s="21"/>
      <c r="X271" s="21"/>
      <c r="Y271" s="21"/>
      <c r="AO271" s="21"/>
      <c r="AP271" s="21"/>
      <c r="AQ271" s="21"/>
      <c r="AR271" s="21"/>
    </row>
    <row r="272" spans="2:45" ht="20.25" x14ac:dyDescent="0.3">
      <c r="B272" s="115"/>
      <c r="Q272" s="21"/>
      <c r="R272" s="21"/>
      <c r="S272" s="21"/>
      <c r="T272" s="21"/>
      <c r="U272" s="21"/>
      <c r="V272" s="21"/>
      <c r="W272" s="21"/>
      <c r="X272" s="21"/>
      <c r="Y272" s="21"/>
      <c r="AO272" s="21"/>
      <c r="AP272" s="21"/>
      <c r="AQ272" s="21"/>
      <c r="AR272" s="21"/>
    </row>
    <row r="273" spans="2:44" ht="20.25" x14ac:dyDescent="0.3">
      <c r="B273" s="115"/>
      <c r="Q273" s="21"/>
      <c r="R273" s="21"/>
      <c r="S273" s="21"/>
      <c r="T273" s="21"/>
      <c r="U273" s="21"/>
      <c r="V273" s="21"/>
      <c r="W273" s="21"/>
      <c r="X273" s="21"/>
      <c r="Y273" s="21"/>
      <c r="AO273" s="21"/>
      <c r="AP273" s="21"/>
      <c r="AQ273" s="21"/>
      <c r="AR273" s="21"/>
    </row>
    <row r="274" spans="2:44" x14ac:dyDescent="0.2">
      <c r="Q274" s="21"/>
      <c r="R274" s="21"/>
      <c r="S274" s="21"/>
      <c r="T274" s="21"/>
      <c r="U274" s="21"/>
      <c r="V274" s="21"/>
      <c r="W274" s="21"/>
      <c r="X274" s="21"/>
      <c r="Y274" s="21"/>
      <c r="AP274" s="21"/>
      <c r="AQ274" s="21"/>
      <c r="AR274" s="21"/>
    </row>
    <row r="287" spans="2:44" x14ac:dyDescent="0.2">
      <c r="N287" s="8"/>
    </row>
    <row r="288" spans="2:44" x14ac:dyDescent="0.2">
      <c r="N288" s="8"/>
    </row>
    <row r="289" spans="14:14" x14ac:dyDescent="0.2">
      <c r="N289" s="8"/>
    </row>
    <row r="290" spans="14:14" x14ac:dyDescent="0.2">
      <c r="N290" s="8"/>
    </row>
    <row r="291" spans="14:14" x14ac:dyDescent="0.2">
      <c r="N291" s="8"/>
    </row>
  </sheetData>
  <mergeCells count="10">
    <mergeCell ref="E10:H10"/>
    <mergeCell ref="J10:O10"/>
    <mergeCell ref="E52:H52"/>
    <mergeCell ref="J52:O52"/>
    <mergeCell ref="E195:H195"/>
    <mergeCell ref="J195:O195"/>
    <mergeCell ref="E99:H99"/>
    <mergeCell ref="J99:O99"/>
    <mergeCell ref="E151:H151"/>
    <mergeCell ref="J151:O151"/>
  </mergeCells>
  <phoneticPr fontId="0" type="noConversion"/>
  <printOptions horizontalCentered="1"/>
  <pageMargins left="0.25" right="0.25" top="0.5" bottom="0.25" header="0.5" footer="0.5"/>
  <pageSetup scale="75" orientation="landscape" horizontalDpi="1200" verticalDpi="1200" r:id="rId1"/>
  <headerFooter alignWithMargins="0"/>
  <rowBreaks count="4" manualBreakCount="4">
    <brk id="47" max="14" man="1"/>
    <brk id="96" max="14" man="1"/>
    <brk id="146" max="14" man="1"/>
    <brk id="19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Yavapai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Peterson</dc:creator>
  <cp:lastModifiedBy>Lucy Frank</cp:lastModifiedBy>
  <cp:lastPrinted>2025-08-15T17:11:30Z</cp:lastPrinted>
  <dcterms:created xsi:type="dcterms:W3CDTF">2007-09-13T19:16:21Z</dcterms:created>
  <dcterms:modified xsi:type="dcterms:W3CDTF">2025-09-05T19:59:21Z</dcterms:modified>
</cp:coreProperties>
</file>